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drawings/drawing3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4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codeName="TämäTyökirja"/>
  <mc:AlternateContent xmlns:mc="http://schemas.openxmlformats.org/markup-compatibility/2006">
    <mc:Choice Requires="x15">
      <x15ac:absPath xmlns:x15ac="http://schemas.microsoft.com/office/spreadsheetml/2010/11/ac" url="Z:\Puukerrostalo\Lähetys\Rakennelaskurit\"/>
    </mc:Choice>
  </mc:AlternateContent>
  <xr:revisionPtr revIDLastSave="0" documentId="13_ncr:1_{AA142FE2-D975-4D51-829F-FE262BCD1639}" xr6:coauthVersionLast="47" xr6:coauthVersionMax="47" xr10:uidLastSave="{00000000-0000-0000-0000-000000000000}"/>
  <bookViews>
    <workbookView xWindow="28690" yWindow="-110" windowWidth="29020" windowHeight="15820" tabRatio="710" xr2:uid="{00000000-000D-0000-FFFF-FFFF00000000}"/>
  </bookViews>
  <sheets>
    <sheet name="Aloitussivu" sheetId="13" r:id="rId1"/>
    <sheet name="Hiilitaselaskuri" sheetId="11" r:id="rId2"/>
    <sheet name="CLT80" sheetId="15" r:id="rId3"/>
    <sheet name="CLT80+CLT200" sheetId="16" r:id="rId4"/>
    <sheet name="CLT120" sheetId="17" r:id="rId5"/>
    <sheet name="Massiivi CLT-rakenne" sheetId="14" r:id="rId6"/>
    <sheet name="CLT300" sheetId="18" r:id="rId7"/>
    <sheet name="CLT400" sheetId="19" r:id="rId8"/>
    <sheet name="Rankarakenne" sheetId="20" r:id="rId9"/>
    <sheet name="Teräsbetoni" sheetId="21" r:id="rId10"/>
    <sheet name="AC-Arvot" sheetId="1" r:id="rId11"/>
    <sheet name="Tulokset" sheetId="2" r:id="rId12"/>
    <sheet name="Krstalo CLT80" sheetId="12" r:id="rId13"/>
    <sheet name="CLT80Laskuri" sheetId="3" r:id="rId14"/>
    <sheet name="CLT80+CLT200Laskuri" sheetId="4" r:id="rId15"/>
    <sheet name="CLT120Laskuri" sheetId="5" r:id="rId16"/>
    <sheet name="CLT200FULLLaskuri" sheetId="6" r:id="rId17"/>
    <sheet name="CLT300Laskuri" sheetId="7" r:id="rId18"/>
    <sheet name="CLT400Laskuri" sheetId="8" r:id="rId19"/>
    <sheet name="RankaLaskuri" sheetId="9" r:id="rId20"/>
    <sheet name="TBLaskuri" sheetId="10" r:id="rId21"/>
  </sheets>
  <definedNames>
    <definedName name="_xlnm._FilterDatabase" localSheetId="1" hidden="1">Hiilitaselaskuri!$A$20:$A$20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1" i="21" l="1"/>
  <c r="F54" i="21" s="1"/>
  <c r="F55" i="21" s="1"/>
  <c r="J49" i="21"/>
  <c r="K48" i="21"/>
  <c r="I48" i="21"/>
  <c r="K47" i="21"/>
  <c r="I47" i="21"/>
  <c r="K46" i="21"/>
  <c r="I46" i="21"/>
  <c r="K45" i="21"/>
  <c r="I45" i="21"/>
  <c r="K44" i="21"/>
  <c r="I44" i="21"/>
  <c r="K43" i="21"/>
  <c r="I43" i="21"/>
  <c r="K42" i="21"/>
  <c r="I42" i="21"/>
  <c r="K41" i="21"/>
  <c r="I41" i="21"/>
  <c r="K40" i="21"/>
  <c r="I40" i="21"/>
  <c r="K39" i="21"/>
  <c r="I39" i="21"/>
  <c r="K38" i="21"/>
  <c r="I38" i="21"/>
  <c r="K37" i="21"/>
  <c r="I37" i="21"/>
  <c r="K36" i="21"/>
  <c r="I36" i="21"/>
  <c r="K35" i="21"/>
  <c r="I35" i="21"/>
  <c r="K34" i="21"/>
  <c r="I34" i="21"/>
  <c r="K33" i="21"/>
  <c r="I33" i="21"/>
  <c r="K32" i="21"/>
  <c r="I32" i="21"/>
  <c r="K31" i="21"/>
  <c r="I31" i="21"/>
  <c r="K30" i="21"/>
  <c r="I30" i="21"/>
  <c r="K29" i="21"/>
  <c r="I29" i="21"/>
  <c r="K28" i="21"/>
  <c r="I28" i="21"/>
  <c r="K27" i="21"/>
  <c r="I27" i="21"/>
  <c r="K26" i="21"/>
  <c r="I26" i="21"/>
  <c r="K25" i="21"/>
  <c r="I25" i="21"/>
  <c r="K24" i="21"/>
  <c r="I24" i="21"/>
  <c r="K23" i="21"/>
  <c r="I23" i="21"/>
  <c r="K22" i="21"/>
  <c r="I22" i="21"/>
  <c r="K21" i="21"/>
  <c r="I21" i="21"/>
  <c r="K20" i="21"/>
  <c r="I20" i="21"/>
  <c r="K19" i="21"/>
  <c r="I19" i="21"/>
  <c r="K18" i="21"/>
  <c r="I18" i="21"/>
  <c r="K17" i="21"/>
  <c r="I17" i="21"/>
  <c r="K16" i="21"/>
  <c r="I16" i="21"/>
  <c r="K15" i="21"/>
  <c r="I15" i="21"/>
  <c r="K14" i="21"/>
  <c r="I14" i="21"/>
  <c r="K13" i="21"/>
  <c r="I13" i="21"/>
  <c r="K12" i="21"/>
  <c r="I12" i="21"/>
  <c r="K11" i="21"/>
  <c r="I11" i="21"/>
  <c r="K10" i="21"/>
  <c r="I10" i="21"/>
  <c r="K9" i="21"/>
  <c r="I9" i="21"/>
  <c r="K8" i="21"/>
  <c r="I8" i="21"/>
  <c r="K7" i="21"/>
  <c r="I7" i="21"/>
  <c r="K6" i="21"/>
  <c r="K49" i="21" s="1"/>
  <c r="I6" i="21"/>
  <c r="I49" i="21" s="1"/>
  <c r="J52" i="21" s="1"/>
  <c r="J53" i="21" s="1"/>
  <c r="I92" i="20"/>
  <c r="G92" i="20"/>
  <c r="I91" i="20"/>
  <c r="G91" i="20"/>
  <c r="I90" i="20"/>
  <c r="G90" i="20"/>
  <c r="I89" i="20"/>
  <c r="G89" i="20"/>
  <c r="I88" i="20"/>
  <c r="G88" i="20"/>
  <c r="I87" i="20"/>
  <c r="G87" i="20"/>
  <c r="I86" i="20"/>
  <c r="G86" i="20"/>
  <c r="I85" i="20"/>
  <c r="G85" i="20"/>
  <c r="I84" i="20"/>
  <c r="G84" i="20"/>
  <c r="I83" i="20"/>
  <c r="G83" i="20"/>
  <c r="I82" i="20"/>
  <c r="G82" i="20"/>
  <c r="I81" i="20"/>
  <c r="G81" i="20"/>
  <c r="I80" i="20"/>
  <c r="G80" i="20"/>
  <c r="I79" i="20"/>
  <c r="G79" i="20"/>
  <c r="I78" i="20"/>
  <c r="G78" i="20"/>
  <c r="I77" i="20"/>
  <c r="G77" i="20"/>
  <c r="I76" i="20"/>
  <c r="G76" i="20"/>
  <c r="I75" i="20"/>
  <c r="G75" i="20"/>
  <c r="I74" i="20"/>
  <c r="G74" i="20"/>
  <c r="I73" i="20"/>
  <c r="G73" i="20"/>
  <c r="I72" i="20"/>
  <c r="G72" i="20"/>
  <c r="I71" i="20"/>
  <c r="G71" i="20"/>
  <c r="I70" i="20"/>
  <c r="G70" i="20"/>
  <c r="I69" i="20"/>
  <c r="G69" i="20"/>
  <c r="I68" i="20"/>
  <c r="G68" i="20"/>
  <c r="I67" i="20"/>
  <c r="G67" i="20"/>
  <c r="I66" i="20"/>
  <c r="G66" i="20"/>
  <c r="I65" i="20"/>
  <c r="G65" i="20"/>
  <c r="I64" i="20"/>
  <c r="G64" i="20"/>
  <c r="I63" i="20"/>
  <c r="G63" i="20"/>
  <c r="I62" i="20"/>
  <c r="G62" i="20"/>
  <c r="I61" i="20"/>
  <c r="G61" i="20"/>
  <c r="I60" i="20"/>
  <c r="G60" i="20"/>
  <c r="I59" i="20"/>
  <c r="G59" i="20"/>
  <c r="I58" i="20"/>
  <c r="G58" i="20"/>
  <c r="I57" i="20"/>
  <c r="G57" i="20"/>
  <c r="I56" i="20"/>
  <c r="G56" i="20"/>
  <c r="I55" i="20"/>
  <c r="G55" i="20"/>
  <c r="I54" i="20"/>
  <c r="G54" i="20"/>
  <c r="I53" i="20"/>
  <c r="G53" i="20"/>
  <c r="I52" i="20"/>
  <c r="G52" i="20"/>
  <c r="I51" i="20"/>
  <c r="G51" i="20"/>
  <c r="I50" i="20"/>
  <c r="G50" i="20"/>
  <c r="I49" i="20"/>
  <c r="G49" i="20"/>
  <c r="I48" i="20"/>
  <c r="G48" i="20"/>
  <c r="I47" i="20"/>
  <c r="G47" i="20"/>
  <c r="I46" i="20"/>
  <c r="G46" i="20"/>
  <c r="I45" i="20"/>
  <c r="G45" i="20"/>
  <c r="I44" i="20"/>
  <c r="G44" i="20"/>
  <c r="I43" i="20"/>
  <c r="G43" i="20"/>
  <c r="I42" i="20"/>
  <c r="G42" i="20"/>
  <c r="I41" i="20"/>
  <c r="G41" i="20"/>
  <c r="I40" i="20"/>
  <c r="G40" i="20"/>
  <c r="I39" i="20"/>
  <c r="G39" i="20"/>
  <c r="I38" i="20"/>
  <c r="G38" i="20"/>
  <c r="I37" i="20"/>
  <c r="G37" i="20"/>
  <c r="I36" i="20"/>
  <c r="G36" i="20"/>
  <c r="I35" i="20"/>
  <c r="G35" i="20"/>
  <c r="I34" i="20"/>
  <c r="G34" i="20"/>
  <c r="I33" i="20"/>
  <c r="G33" i="20"/>
  <c r="I32" i="20"/>
  <c r="G32" i="20"/>
  <c r="I31" i="20"/>
  <c r="G31" i="20"/>
  <c r="I30" i="20"/>
  <c r="G30" i="20"/>
  <c r="I29" i="20"/>
  <c r="G29" i="20"/>
  <c r="I28" i="20"/>
  <c r="G28" i="20"/>
  <c r="I27" i="20"/>
  <c r="G27" i="20"/>
  <c r="I26" i="20"/>
  <c r="G26" i="20"/>
  <c r="I25" i="20"/>
  <c r="G25" i="20"/>
  <c r="I24" i="20"/>
  <c r="G24" i="20"/>
  <c r="I23" i="20"/>
  <c r="G23" i="20"/>
  <c r="I22" i="20"/>
  <c r="G22" i="20"/>
  <c r="I21" i="20"/>
  <c r="G21" i="20"/>
  <c r="I20" i="20"/>
  <c r="G20" i="20"/>
  <c r="I19" i="20"/>
  <c r="G19" i="20"/>
  <c r="I18" i="20"/>
  <c r="G18" i="20"/>
  <c r="I17" i="20"/>
  <c r="G17" i="20"/>
  <c r="I16" i="20"/>
  <c r="G16" i="20"/>
  <c r="I15" i="20"/>
  <c r="G15" i="20"/>
  <c r="I14" i="20"/>
  <c r="G14" i="20"/>
  <c r="I13" i="20"/>
  <c r="G13" i="20"/>
  <c r="I12" i="20"/>
  <c r="G12" i="20"/>
  <c r="I11" i="20"/>
  <c r="G11" i="20"/>
  <c r="I10" i="20"/>
  <c r="G10" i="20"/>
  <c r="I9" i="20"/>
  <c r="G9" i="20"/>
  <c r="I8" i="20"/>
  <c r="I93" i="20" s="1"/>
  <c r="G8" i="20"/>
  <c r="G93" i="20" s="1"/>
  <c r="K85" i="19"/>
  <c r="I85" i="19"/>
  <c r="K84" i="19"/>
  <c r="I84" i="19"/>
  <c r="K83" i="19"/>
  <c r="I83" i="19"/>
  <c r="K82" i="19"/>
  <c r="I82" i="19"/>
  <c r="K81" i="19"/>
  <c r="I81" i="19"/>
  <c r="K80" i="19"/>
  <c r="I80" i="19"/>
  <c r="K79" i="19"/>
  <c r="I79" i="19"/>
  <c r="K78" i="19"/>
  <c r="I78" i="19"/>
  <c r="K77" i="19"/>
  <c r="I77" i="19"/>
  <c r="K76" i="19"/>
  <c r="I76" i="19"/>
  <c r="K75" i="19"/>
  <c r="I75" i="19"/>
  <c r="K74" i="19"/>
  <c r="I74" i="19"/>
  <c r="K73" i="19"/>
  <c r="I73" i="19"/>
  <c r="K72" i="19"/>
  <c r="I72" i="19"/>
  <c r="K71" i="19"/>
  <c r="I71" i="19"/>
  <c r="K70" i="19"/>
  <c r="I70" i="19"/>
  <c r="K69" i="19"/>
  <c r="I69" i="19"/>
  <c r="K68" i="19"/>
  <c r="I68" i="19"/>
  <c r="K67" i="19"/>
  <c r="I67" i="19"/>
  <c r="K66" i="19"/>
  <c r="I66" i="19"/>
  <c r="K65" i="19"/>
  <c r="I65" i="19"/>
  <c r="K64" i="19"/>
  <c r="I64" i="19"/>
  <c r="K63" i="19"/>
  <c r="I63" i="19"/>
  <c r="K62" i="19"/>
  <c r="I62" i="19"/>
  <c r="K61" i="19"/>
  <c r="I61" i="19"/>
  <c r="K60" i="19"/>
  <c r="I60" i="19"/>
  <c r="K59" i="19"/>
  <c r="I59" i="19"/>
  <c r="K58" i="19"/>
  <c r="I58" i="19"/>
  <c r="K57" i="19"/>
  <c r="I57" i="19"/>
  <c r="K56" i="19"/>
  <c r="I56" i="19"/>
  <c r="K55" i="19"/>
  <c r="I55" i="19"/>
  <c r="K54" i="19"/>
  <c r="I54" i="19"/>
  <c r="K53" i="19"/>
  <c r="I53" i="19"/>
  <c r="K52" i="19"/>
  <c r="I52" i="19"/>
  <c r="K51" i="19"/>
  <c r="I51" i="19"/>
  <c r="K50" i="19"/>
  <c r="I50" i="19"/>
  <c r="K49" i="19"/>
  <c r="I49" i="19"/>
  <c r="K48" i="19"/>
  <c r="I48" i="19"/>
  <c r="K47" i="19"/>
  <c r="I47" i="19"/>
  <c r="K46" i="19"/>
  <c r="I46" i="19"/>
  <c r="K45" i="19"/>
  <c r="I45" i="19"/>
  <c r="K44" i="19"/>
  <c r="I44" i="19"/>
  <c r="K43" i="19"/>
  <c r="I43" i="19"/>
  <c r="K42" i="19"/>
  <c r="I42" i="19"/>
  <c r="K41" i="19"/>
  <c r="I41" i="19"/>
  <c r="K40" i="19"/>
  <c r="I40" i="19"/>
  <c r="K39" i="19"/>
  <c r="I39" i="19"/>
  <c r="K38" i="19"/>
  <c r="I38" i="19"/>
  <c r="K37" i="19"/>
  <c r="I37" i="19"/>
  <c r="K36" i="19"/>
  <c r="I36" i="19"/>
  <c r="K35" i="19"/>
  <c r="I35" i="19"/>
  <c r="K34" i="19"/>
  <c r="I34" i="19"/>
  <c r="K33" i="19"/>
  <c r="I33" i="19"/>
  <c r="K32" i="19"/>
  <c r="I32" i="19"/>
  <c r="K31" i="19"/>
  <c r="I31" i="19"/>
  <c r="K30" i="19"/>
  <c r="I30" i="19"/>
  <c r="K29" i="19"/>
  <c r="I29" i="19"/>
  <c r="K28" i="19"/>
  <c r="I28" i="19"/>
  <c r="K27" i="19"/>
  <c r="I27" i="19"/>
  <c r="K26" i="19"/>
  <c r="I26" i="19"/>
  <c r="K25" i="19"/>
  <c r="I25" i="19"/>
  <c r="K24" i="19"/>
  <c r="I24" i="19"/>
  <c r="K23" i="19"/>
  <c r="I23" i="19"/>
  <c r="K22" i="19"/>
  <c r="I22" i="19"/>
  <c r="K21" i="19"/>
  <c r="I21" i="19"/>
  <c r="K20" i="19"/>
  <c r="I20" i="19"/>
  <c r="K19" i="19"/>
  <c r="I19" i="19"/>
  <c r="K18" i="19"/>
  <c r="I18" i="19"/>
  <c r="K17" i="19"/>
  <c r="I17" i="19"/>
  <c r="K16" i="19"/>
  <c r="I16" i="19"/>
  <c r="K15" i="19"/>
  <c r="I15" i="19"/>
  <c r="K14" i="19"/>
  <c r="I14" i="19"/>
  <c r="K13" i="19"/>
  <c r="I13" i="19"/>
  <c r="K12" i="19"/>
  <c r="I12" i="19"/>
  <c r="K11" i="19"/>
  <c r="I11" i="19"/>
  <c r="K10" i="19"/>
  <c r="I10" i="19"/>
  <c r="K9" i="19"/>
  <c r="I9" i="19"/>
  <c r="K8" i="19"/>
  <c r="I8" i="19"/>
  <c r="K7" i="19"/>
  <c r="I7" i="19"/>
  <c r="K6" i="19"/>
  <c r="K86" i="19" s="1"/>
  <c r="I6" i="19"/>
  <c r="I86" i="19" s="1"/>
  <c r="J88" i="19" s="1"/>
  <c r="J89" i="19" s="1"/>
  <c r="K85" i="18"/>
  <c r="I85" i="18"/>
  <c r="K84" i="18"/>
  <c r="I84" i="18"/>
  <c r="K83" i="18"/>
  <c r="I83" i="18"/>
  <c r="K82" i="18"/>
  <c r="I82" i="18"/>
  <c r="K81" i="18"/>
  <c r="I81" i="18"/>
  <c r="K80" i="18"/>
  <c r="I80" i="18"/>
  <c r="K79" i="18"/>
  <c r="I79" i="18"/>
  <c r="K78" i="18"/>
  <c r="I78" i="18"/>
  <c r="K77" i="18"/>
  <c r="I77" i="18"/>
  <c r="K76" i="18"/>
  <c r="I76" i="18"/>
  <c r="K75" i="18"/>
  <c r="I75" i="18"/>
  <c r="K74" i="18"/>
  <c r="I74" i="18"/>
  <c r="K73" i="18"/>
  <c r="I73" i="18"/>
  <c r="K72" i="18"/>
  <c r="I72" i="18"/>
  <c r="K71" i="18"/>
  <c r="I71" i="18"/>
  <c r="K70" i="18"/>
  <c r="I70" i="18"/>
  <c r="K69" i="18"/>
  <c r="I69" i="18"/>
  <c r="K68" i="18"/>
  <c r="I68" i="18"/>
  <c r="K67" i="18"/>
  <c r="I67" i="18"/>
  <c r="K66" i="18"/>
  <c r="I66" i="18"/>
  <c r="K65" i="18"/>
  <c r="I65" i="18"/>
  <c r="K64" i="18"/>
  <c r="I64" i="18"/>
  <c r="K63" i="18"/>
  <c r="I63" i="18"/>
  <c r="K62" i="18"/>
  <c r="I62" i="18"/>
  <c r="K61" i="18"/>
  <c r="I61" i="18"/>
  <c r="K60" i="18"/>
  <c r="I60" i="18"/>
  <c r="K59" i="18"/>
  <c r="I59" i="18"/>
  <c r="K58" i="18"/>
  <c r="I58" i="18"/>
  <c r="K57" i="18"/>
  <c r="I57" i="18"/>
  <c r="K56" i="18"/>
  <c r="I56" i="18"/>
  <c r="K55" i="18"/>
  <c r="I55" i="18"/>
  <c r="K54" i="18"/>
  <c r="I54" i="18"/>
  <c r="K53" i="18"/>
  <c r="I53" i="18"/>
  <c r="K52" i="18"/>
  <c r="I52" i="18"/>
  <c r="K51" i="18"/>
  <c r="I51" i="18"/>
  <c r="K50" i="18"/>
  <c r="I50" i="18"/>
  <c r="K49" i="18"/>
  <c r="I49" i="18"/>
  <c r="K48" i="18"/>
  <c r="I48" i="18"/>
  <c r="K47" i="18"/>
  <c r="I47" i="18"/>
  <c r="K46" i="18"/>
  <c r="I46" i="18"/>
  <c r="K45" i="18"/>
  <c r="I45" i="18"/>
  <c r="K44" i="18"/>
  <c r="I44" i="18"/>
  <c r="K43" i="18"/>
  <c r="I43" i="18"/>
  <c r="K42" i="18"/>
  <c r="I42" i="18"/>
  <c r="K41" i="18"/>
  <c r="I41" i="18"/>
  <c r="K40" i="18"/>
  <c r="I40" i="18"/>
  <c r="K39" i="18"/>
  <c r="I39" i="18"/>
  <c r="K38" i="18"/>
  <c r="I38" i="18"/>
  <c r="K37" i="18"/>
  <c r="I37" i="18"/>
  <c r="K36" i="18"/>
  <c r="I36" i="18"/>
  <c r="K35" i="18"/>
  <c r="I35" i="18"/>
  <c r="K34" i="18"/>
  <c r="I34" i="18"/>
  <c r="K33" i="18"/>
  <c r="I33" i="18"/>
  <c r="K32" i="18"/>
  <c r="I32" i="18"/>
  <c r="K31" i="18"/>
  <c r="I31" i="18"/>
  <c r="K30" i="18"/>
  <c r="I30" i="18"/>
  <c r="K29" i="18"/>
  <c r="I29" i="18"/>
  <c r="K28" i="18"/>
  <c r="I28" i="18"/>
  <c r="K27" i="18"/>
  <c r="I27" i="18"/>
  <c r="K26" i="18"/>
  <c r="I26" i="18"/>
  <c r="K25" i="18"/>
  <c r="I25" i="18"/>
  <c r="K24" i="18"/>
  <c r="I24" i="18"/>
  <c r="K23" i="18"/>
  <c r="I23" i="18"/>
  <c r="K22" i="18"/>
  <c r="I22" i="18"/>
  <c r="K21" i="18"/>
  <c r="I21" i="18"/>
  <c r="K20" i="18"/>
  <c r="I20" i="18"/>
  <c r="K19" i="18"/>
  <c r="I19" i="18"/>
  <c r="K18" i="18"/>
  <c r="I18" i="18"/>
  <c r="K17" i="18"/>
  <c r="I17" i="18"/>
  <c r="K16" i="18"/>
  <c r="I16" i="18"/>
  <c r="K15" i="18"/>
  <c r="I15" i="18"/>
  <c r="K14" i="18"/>
  <c r="I14" i="18"/>
  <c r="K13" i="18"/>
  <c r="I13" i="18"/>
  <c r="K12" i="18"/>
  <c r="I12" i="18"/>
  <c r="K11" i="18"/>
  <c r="I11" i="18"/>
  <c r="K10" i="18"/>
  <c r="I10" i="18"/>
  <c r="K9" i="18"/>
  <c r="I9" i="18"/>
  <c r="K8" i="18"/>
  <c r="I8" i="18"/>
  <c r="K7" i="18"/>
  <c r="I7" i="18"/>
  <c r="K6" i="18"/>
  <c r="K86" i="18" s="1"/>
  <c r="I6" i="18"/>
  <c r="I86" i="18" s="1"/>
  <c r="J88" i="18" s="1"/>
  <c r="J89" i="18" s="1"/>
  <c r="K90" i="14"/>
  <c r="I90" i="14"/>
  <c r="K89" i="14"/>
  <c r="I89" i="14"/>
  <c r="K88" i="14"/>
  <c r="I88" i="14"/>
  <c r="K87" i="14"/>
  <c r="I87" i="14"/>
  <c r="K86" i="14"/>
  <c r="I86" i="14"/>
  <c r="K85" i="14"/>
  <c r="I85" i="14"/>
  <c r="K84" i="14"/>
  <c r="I84" i="14"/>
  <c r="K83" i="14"/>
  <c r="I83" i="14"/>
  <c r="K82" i="14"/>
  <c r="I82" i="14"/>
  <c r="K81" i="14"/>
  <c r="I81" i="14"/>
  <c r="K80" i="14"/>
  <c r="I80" i="14"/>
  <c r="K79" i="14"/>
  <c r="I79" i="14"/>
  <c r="K78" i="14"/>
  <c r="I78" i="14"/>
  <c r="K77" i="14"/>
  <c r="I77" i="14"/>
  <c r="K76" i="14"/>
  <c r="I76" i="14"/>
  <c r="K75" i="14"/>
  <c r="I75" i="14"/>
  <c r="K74" i="14"/>
  <c r="I74" i="14"/>
  <c r="K73" i="14"/>
  <c r="I73" i="14"/>
  <c r="K72" i="14"/>
  <c r="I72" i="14"/>
  <c r="K71" i="14"/>
  <c r="I71" i="14"/>
  <c r="K70" i="14"/>
  <c r="I70" i="14"/>
  <c r="K69" i="14"/>
  <c r="I69" i="14"/>
  <c r="K68" i="14"/>
  <c r="I68" i="14"/>
  <c r="K67" i="14"/>
  <c r="I67" i="14"/>
  <c r="K66" i="14"/>
  <c r="I66" i="14"/>
  <c r="K65" i="14"/>
  <c r="I65" i="14"/>
  <c r="K64" i="14"/>
  <c r="I64" i="14"/>
  <c r="K63" i="14"/>
  <c r="I63" i="14"/>
  <c r="K62" i="14"/>
  <c r="I62" i="14"/>
  <c r="K61" i="14"/>
  <c r="I61" i="14"/>
  <c r="K60" i="14"/>
  <c r="I60" i="14"/>
  <c r="K59" i="14"/>
  <c r="I59" i="14"/>
  <c r="K58" i="14"/>
  <c r="I58" i="14"/>
  <c r="K57" i="14"/>
  <c r="I57" i="14"/>
  <c r="K56" i="14"/>
  <c r="I56" i="14"/>
  <c r="K55" i="14"/>
  <c r="I55" i="14"/>
  <c r="K54" i="14"/>
  <c r="I54" i="14"/>
  <c r="K53" i="14"/>
  <c r="I53" i="14"/>
  <c r="K52" i="14"/>
  <c r="I52" i="14"/>
  <c r="K51" i="14"/>
  <c r="I51" i="14"/>
  <c r="K50" i="14"/>
  <c r="I50" i="14"/>
  <c r="K49" i="14"/>
  <c r="I49" i="14"/>
  <c r="K48" i="14"/>
  <c r="I48" i="14"/>
  <c r="K47" i="14"/>
  <c r="I47" i="14"/>
  <c r="K46" i="14"/>
  <c r="I46" i="14"/>
  <c r="K45" i="14"/>
  <c r="I45" i="14"/>
  <c r="K44" i="14"/>
  <c r="I44" i="14"/>
  <c r="K43" i="14"/>
  <c r="I43" i="14"/>
  <c r="K42" i="14"/>
  <c r="I42" i="14"/>
  <c r="K41" i="14"/>
  <c r="I41" i="14"/>
  <c r="K40" i="14"/>
  <c r="I40" i="14"/>
  <c r="K39" i="14"/>
  <c r="I39" i="14"/>
  <c r="K38" i="14"/>
  <c r="I38" i="14"/>
  <c r="K37" i="14"/>
  <c r="I37" i="14"/>
  <c r="K36" i="14"/>
  <c r="I36" i="14"/>
  <c r="K35" i="14"/>
  <c r="I35" i="14"/>
  <c r="K34" i="14"/>
  <c r="I34" i="14"/>
  <c r="K33" i="14"/>
  <c r="I33" i="14"/>
  <c r="K32" i="14"/>
  <c r="I32" i="14"/>
  <c r="K31" i="14"/>
  <c r="I31" i="14"/>
  <c r="K30" i="14"/>
  <c r="I30" i="14"/>
  <c r="K29" i="14"/>
  <c r="I29" i="14"/>
  <c r="K28" i="14"/>
  <c r="I28" i="14"/>
  <c r="K27" i="14"/>
  <c r="I27" i="14"/>
  <c r="K26" i="14"/>
  <c r="I26" i="14"/>
  <c r="K25" i="14"/>
  <c r="I25" i="14"/>
  <c r="K24" i="14"/>
  <c r="I24" i="14"/>
  <c r="K23" i="14"/>
  <c r="I23" i="14"/>
  <c r="K22" i="14"/>
  <c r="I22" i="14"/>
  <c r="K21" i="14"/>
  <c r="I21" i="14"/>
  <c r="K20" i="14"/>
  <c r="I20" i="14"/>
  <c r="K19" i="14"/>
  <c r="I19" i="14"/>
  <c r="K18" i="14"/>
  <c r="I18" i="14"/>
  <c r="K17" i="14"/>
  <c r="I17" i="14"/>
  <c r="K16" i="14"/>
  <c r="I16" i="14"/>
  <c r="K15" i="14"/>
  <c r="K91" i="14" s="1"/>
  <c r="I15" i="14"/>
  <c r="I91" i="14" s="1"/>
  <c r="J93" i="14" s="1"/>
  <c r="J94" i="14" s="1"/>
  <c r="J86" i="17"/>
  <c r="K40" i="17"/>
  <c r="I40" i="17"/>
  <c r="K66" i="17"/>
  <c r="I66" i="17"/>
  <c r="K57" i="17"/>
  <c r="I57" i="17"/>
  <c r="K85" i="17"/>
  <c r="I85" i="17"/>
  <c r="K68" i="17"/>
  <c r="I68" i="17"/>
  <c r="K73" i="17"/>
  <c r="I73" i="17"/>
  <c r="K67" i="17"/>
  <c r="I67" i="17"/>
  <c r="K52" i="17"/>
  <c r="I52" i="17"/>
  <c r="K51" i="17"/>
  <c r="I51" i="17"/>
  <c r="K48" i="17"/>
  <c r="I48" i="17"/>
  <c r="K50" i="17"/>
  <c r="I50" i="17"/>
  <c r="K37" i="17"/>
  <c r="I37" i="17"/>
  <c r="K28" i="17"/>
  <c r="I28" i="17"/>
  <c r="K10" i="17"/>
  <c r="I10" i="17"/>
  <c r="K38" i="17"/>
  <c r="I38" i="17"/>
  <c r="K25" i="17"/>
  <c r="I25" i="17"/>
  <c r="K26" i="17"/>
  <c r="I26" i="17"/>
  <c r="K56" i="17"/>
  <c r="I56" i="17"/>
  <c r="K31" i="17"/>
  <c r="I31" i="17"/>
  <c r="K32" i="17"/>
  <c r="I32" i="17"/>
  <c r="K47" i="17"/>
  <c r="I47" i="17"/>
  <c r="K42" i="17"/>
  <c r="I42" i="17"/>
  <c r="K43" i="17"/>
  <c r="I43" i="17"/>
  <c r="K53" i="17"/>
  <c r="I53" i="17"/>
  <c r="K41" i="17"/>
  <c r="I41" i="17"/>
  <c r="K11" i="17"/>
  <c r="I11" i="17"/>
  <c r="K80" i="17"/>
  <c r="I80" i="17"/>
  <c r="K62" i="17"/>
  <c r="I62" i="17"/>
  <c r="K65" i="17"/>
  <c r="I65" i="17"/>
  <c r="K46" i="17"/>
  <c r="I46" i="17"/>
  <c r="K69" i="17"/>
  <c r="I69" i="17"/>
  <c r="K60" i="17"/>
  <c r="I60" i="17"/>
  <c r="K45" i="17"/>
  <c r="I45" i="17"/>
  <c r="K18" i="17"/>
  <c r="I18" i="17"/>
  <c r="K58" i="17"/>
  <c r="I58" i="17"/>
  <c r="K55" i="17"/>
  <c r="I55" i="17"/>
  <c r="K29" i="17"/>
  <c r="I29" i="17"/>
  <c r="K22" i="17"/>
  <c r="I22" i="17"/>
  <c r="K34" i="17"/>
  <c r="I34" i="17"/>
  <c r="K16" i="17"/>
  <c r="I16" i="17"/>
  <c r="K13" i="17"/>
  <c r="I13" i="17"/>
  <c r="K12" i="17"/>
  <c r="I12" i="17"/>
  <c r="K33" i="17"/>
  <c r="I33" i="17"/>
  <c r="K81" i="17"/>
  <c r="I81" i="17"/>
  <c r="K77" i="17"/>
  <c r="I77" i="17"/>
  <c r="K61" i="17"/>
  <c r="I61" i="17"/>
  <c r="K36" i="17"/>
  <c r="I36" i="17"/>
  <c r="K63" i="17"/>
  <c r="I63" i="17"/>
  <c r="K15" i="17"/>
  <c r="I15" i="17"/>
  <c r="K19" i="17"/>
  <c r="I19" i="17"/>
  <c r="K17" i="17"/>
  <c r="I17" i="17"/>
  <c r="K44" i="17"/>
  <c r="E44" i="17"/>
  <c r="I44" i="17" s="1"/>
  <c r="K39" i="17"/>
  <c r="I39" i="17"/>
  <c r="K70" i="17"/>
  <c r="I70" i="17"/>
  <c r="K54" i="17"/>
  <c r="I54" i="17"/>
  <c r="K35" i="17"/>
  <c r="I35" i="17"/>
  <c r="K8" i="17"/>
  <c r="I8" i="17"/>
  <c r="K7" i="17"/>
  <c r="I7" i="17"/>
  <c r="K6" i="17"/>
  <c r="I6" i="17"/>
  <c r="K20" i="17"/>
  <c r="I20" i="17"/>
  <c r="K24" i="17"/>
  <c r="I24" i="17"/>
  <c r="K9" i="17"/>
  <c r="I9" i="17"/>
  <c r="K83" i="17"/>
  <c r="I83" i="17"/>
  <c r="K79" i="17"/>
  <c r="I79" i="17"/>
  <c r="K49" i="17"/>
  <c r="I49" i="17"/>
  <c r="K64" i="17"/>
  <c r="I64" i="17"/>
  <c r="K14" i="17"/>
  <c r="I14" i="17"/>
  <c r="K76" i="17"/>
  <c r="I76" i="17"/>
  <c r="K84" i="17"/>
  <c r="I84" i="17"/>
  <c r="K75" i="17"/>
  <c r="I75" i="17"/>
  <c r="K23" i="17"/>
  <c r="I23" i="17"/>
  <c r="K82" i="17"/>
  <c r="I82" i="17"/>
  <c r="K74" i="17"/>
  <c r="I74" i="17"/>
  <c r="K27" i="17"/>
  <c r="I27" i="17"/>
  <c r="K59" i="17"/>
  <c r="I59" i="17"/>
  <c r="K21" i="17"/>
  <c r="I21" i="17"/>
  <c r="K78" i="17"/>
  <c r="I78" i="17"/>
  <c r="K30" i="17"/>
  <c r="I30" i="17"/>
  <c r="K72" i="17"/>
  <c r="I72" i="17"/>
  <c r="K71" i="17"/>
  <c r="I71" i="17"/>
  <c r="I86" i="17" s="1"/>
  <c r="J82" i="16"/>
  <c r="H82" i="16"/>
  <c r="J81" i="16"/>
  <c r="H81" i="16"/>
  <c r="J80" i="16"/>
  <c r="H80" i="16"/>
  <c r="J79" i="16"/>
  <c r="H79" i="16"/>
  <c r="J78" i="16"/>
  <c r="H78" i="16"/>
  <c r="J77" i="16"/>
  <c r="H77" i="16"/>
  <c r="J76" i="16"/>
  <c r="H76" i="16"/>
  <c r="J75" i="16"/>
  <c r="H75" i="16"/>
  <c r="J74" i="16"/>
  <c r="H74" i="16"/>
  <c r="J73" i="16"/>
  <c r="H73" i="16"/>
  <c r="J72" i="16"/>
  <c r="H72" i="16"/>
  <c r="J71" i="16"/>
  <c r="H71" i="16"/>
  <c r="J70" i="16"/>
  <c r="H70" i="16"/>
  <c r="J69" i="16"/>
  <c r="H69" i="16"/>
  <c r="J68" i="16"/>
  <c r="H68" i="16"/>
  <c r="J67" i="16"/>
  <c r="H67" i="16"/>
  <c r="J66" i="16"/>
  <c r="H66" i="16"/>
  <c r="J65" i="16"/>
  <c r="H65" i="16"/>
  <c r="J64" i="16"/>
  <c r="H64" i="16"/>
  <c r="J63" i="16"/>
  <c r="H63" i="16"/>
  <c r="J62" i="16"/>
  <c r="H62" i="16"/>
  <c r="J61" i="16"/>
  <c r="H61" i="16"/>
  <c r="J60" i="16"/>
  <c r="H60" i="16"/>
  <c r="J59" i="16"/>
  <c r="H59" i="16"/>
  <c r="J58" i="16"/>
  <c r="H58" i="16"/>
  <c r="J57" i="16"/>
  <c r="H57" i="16"/>
  <c r="J56" i="16"/>
  <c r="H56" i="16"/>
  <c r="J55" i="16"/>
  <c r="H55" i="16"/>
  <c r="J54" i="16"/>
  <c r="H54" i="16"/>
  <c r="J53" i="16"/>
  <c r="H53" i="16"/>
  <c r="J52" i="16"/>
  <c r="H52" i="16"/>
  <c r="J51" i="16"/>
  <c r="H51" i="16"/>
  <c r="J50" i="16"/>
  <c r="H50" i="16"/>
  <c r="J49" i="16"/>
  <c r="H49" i="16"/>
  <c r="J48" i="16"/>
  <c r="H48" i="16"/>
  <c r="J47" i="16"/>
  <c r="H47" i="16"/>
  <c r="J46" i="16"/>
  <c r="H46" i="16"/>
  <c r="J45" i="16"/>
  <c r="H45" i="16"/>
  <c r="J44" i="16"/>
  <c r="H44" i="16"/>
  <c r="J43" i="16"/>
  <c r="H43" i="16"/>
  <c r="J42" i="16"/>
  <c r="H42" i="16"/>
  <c r="J41" i="16"/>
  <c r="H41" i="16"/>
  <c r="J40" i="16"/>
  <c r="H40" i="16"/>
  <c r="J39" i="16"/>
  <c r="H39" i="16"/>
  <c r="J38" i="16"/>
  <c r="H38" i="16"/>
  <c r="J37" i="16"/>
  <c r="H37" i="16"/>
  <c r="J36" i="16"/>
  <c r="H36" i="16"/>
  <c r="J35" i="16"/>
  <c r="H35" i="16"/>
  <c r="J34" i="16"/>
  <c r="H34" i="16"/>
  <c r="J33" i="16"/>
  <c r="H33" i="16"/>
  <c r="J32" i="16"/>
  <c r="H32" i="16"/>
  <c r="J31" i="16"/>
  <c r="H31" i="16"/>
  <c r="J30" i="16"/>
  <c r="H30" i="16"/>
  <c r="J29" i="16"/>
  <c r="H29" i="16"/>
  <c r="J28" i="16"/>
  <c r="H28" i="16"/>
  <c r="J27" i="16"/>
  <c r="H27" i="16"/>
  <c r="J26" i="16"/>
  <c r="H26" i="16"/>
  <c r="J25" i="16"/>
  <c r="H25" i="16"/>
  <c r="J24" i="16"/>
  <c r="H24" i="16"/>
  <c r="J23" i="16"/>
  <c r="H23" i="16"/>
  <c r="J22" i="16"/>
  <c r="H22" i="16"/>
  <c r="J21" i="16"/>
  <c r="H21" i="16"/>
  <c r="J20" i="16"/>
  <c r="H20" i="16"/>
  <c r="J19" i="16"/>
  <c r="H19" i="16"/>
  <c r="J18" i="16"/>
  <c r="H18" i="16"/>
  <c r="J17" i="16"/>
  <c r="H17" i="16"/>
  <c r="J16" i="16"/>
  <c r="H16" i="16"/>
  <c r="J15" i="16"/>
  <c r="H15" i="16"/>
  <c r="J14" i="16"/>
  <c r="H14" i="16"/>
  <c r="J13" i="16"/>
  <c r="H13" i="16"/>
  <c r="J12" i="16"/>
  <c r="H12" i="16"/>
  <c r="J11" i="16"/>
  <c r="H11" i="16"/>
  <c r="J10" i="16"/>
  <c r="H10" i="16"/>
  <c r="J9" i="16"/>
  <c r="H9" i="16"/>
  <c r="J8" i="16"/>
  <c r="H8" i="16"/>
  <c r="J7" i="16"/>
  <c r="H7" i="16"/>
  <c r="J6" i="16"/>
  <c r="J83" i="16" s="1"/>
  <c r="H6" i="16"/>
  <c r="H83" i="16" s="1"/>
  <c r="I85" i="16" s="1"/>
  <c r="I86" i="16" s="1"/>
  <c r="I77" i="15"/>
  <c r="K77" i="15"/>
  <c r="I47" i="15"/>
  <c r="K47" i="15"/>
  <c r="I48" i="15"/>
  <c r="K48" i="15"/>
  <c r="I20" i="15"/>
  <c r="K20" i="15"/>
  <c r="I42" i="15"/>
  <c r="K42" i="15"/>
  <c r="I21" i="15"/>
  <c r="K21" i="15"/>
  <c r="I43" i="15"/>
  <c r="K43" i="15"/>
  <c r="I23" i="15"/>
  <c r="K23" i="15"/>
  <c r="I22" i="15"/>
  <c r="K22" i="15"/>
  <c r="I24" i="15"/>
  <c r="K24" i="15"/>
  <c r="I25" i="15"/>
  <c r="K25" i="15"/>
  <c r="I26" i="15"/>
  <c r="K26" i="15"/>
  <c r="I54" i="15"/>
  <c r="K54" i="15"/>
  <c r="I84" i="15"/>
  <c r="K84" i="15"/>
  <c r="I61" i="15"/>
  <c r="K61" i="15"/>
  <c r="I29" i="15"/>
  <c r="K29" i="15"/>
  <c r="I10" i="15"/>
  <c r="K10" i="15"/>
  <c r="I55" i="15"/>
  <c r="K55" i="15"/>
  <c r="I85" i="15"/>
  <c r="K85" i="15"/>
  <c r="I6" i="15"/>
  <c r="K6" i="15"/>
  <c r="I49" i="15"/>
  <c r="K49" i="15"/>
  <c r="I11" i="15"/>
  <c r="K11" i="15"/>
  <c r="I44" i="15"/>
  <c r="K44" i="15"/>
  <c r="I12" i="15"/>
  <c r="K12" i="15"/>
  <c r="I45" i="15"/>
  <c r="K45" i="15"/>
  <c r="I50" i="15"/>
  <c r="K50" i="15"/>
  <c r="I40" i="15"/>
  <c r="K40" i="15"/>
  <c r="E41" i="15"/>
  <c r="K41" i="15" s="1"/>
  <c r="I41" i="15"/>
  <c r="I30" i="15"/>
  <c r="K30" i="15"/>
  <c r="I56" i="15"/>
  <c r="K56" i="15"/>
  <c r="I57" i="15"/>
  <c r="K57" i="15"/>
  <c r="I80" i="15"/>
  <c r="K80" i="15"/>
  <c r="I13" i="15"/>
  <c r="K13" i="15"/>
  <c r="I7" i="15"/>
  <c r="K7" i="15"/>
  <c r="I75" i="15"/>
  <c r="K75" i="15"/>
  <c r="I31" i="15"/>
  <c r="K31" i="15"/>
  <c r="I78" i="15"/>
  <c r="K78" i="15"/>
  <c r="I81" i="15"/>
  <c r="K81" i="15"/>
  <c r="I82" i="15"/>
  <c r="K82" i="15"/>
  <c r="I83" i="15"/>
  <c r="K83" i="15"/>
  <c r="I14" i="15"/>
  <c r="K14" i="15"/>
  <c r="I8" i="15"/>
  <c r="K8" i="15"/>
  <c r="I62" i="15"/>
  <c r="K62" i="15"/>
  <c r="I76" i="15"/>
  <c r="K76" i="15"/>
  <c r="I32" i="15"/>
  <c r="K32" i="15"/>
  <c r="I79" i="15"/>
  <c r="K79" i="15"/>
  <c r="I58" i="15"/>
  <c r="K58" i="15"/>
  <c r="I63" i="15"/>
  <c r="K63" i="15"/>
  <c r="I33" i="15"/>
  <c r="K33" i="15"/>
  <c r="I27" i="15"/>
  <c r="K27" i="15"/>
  <c r="I28" i="15"/>
  <c r="K28" i="15"/>
  <c r="I15" i="15"/>
  <c r="K15" i="15"/>
  <c r="I64" i="15"/>
  <c r="K64" i="15"/>
  <c r="I34" i="15"/>
  <c r="K34" i="15"/>
  <c r="I59" i="15"/>
  <c r="K59" i="15"/>
  <c r="I16" i="15"/>
  <c r="K16" i="15"/>
  <c r="I35" i="15"/>
  <c r="K35" i="15"/>
  <c r="I65" i="15"/>
  <c r="K65" i="15"/>
  <c r="I66" i="15"/>
  <c r="K66" i="15"/>
  <c r="I17" i="15"/>
  <c r="K17" i="15"/>
  <c r="I67" i="15"/>
  <c r="K67" i="15"/>
  <c r="I68" i="15"/>
  <c r="K68" i="15"/>
  <c r="I36" i="15"/>
  <c r="K36" i="15"/>
  <c r="I69" i="15"/>
  <c r="K69" i="15"/>
  <c r="I70" i="15"/>
  <c r="K70" i="15"/>
  <c r="I37" i="15"/>
  <c r="K37" i="15"/>
  <c r="I60" i="15"/>
  <c r="K60" i="15"/>
  <c r="I71" i="15"/>
  <c r="K71" i="15"/>
  <c r="I72" i="15"/>
  <c r="K72" i="15"/>
  <c r="I38" i="15"/>
  <c r="K38" i="15"/>
  <c r="I18" i="15"/>
  <c r="K18" i="15"/>
  <c r="I73" i="15"/>
  <c r="K73" i="15"/>
  <c r="I74" i="15"/>
  <c r="K74" i="15"/>
  <c r="I19" i="15"/>
  <c r="K19" i="15"/>
  <c r="I51" i="15"/>
  <c r="K51" i="15"/>
  <c r="I52" i="15"/>
  <c r="K52" i="15"/>
  <c r="I53" i="15"/>
  <c r="K53" i="15"/>
  <c r="I46" i="15"/>
  <c r="K46" i="15"/>
  <c r="I39" i="15"/>
  <c r="K39" i="15"/>
  <c r="I9" i="15"/>
  <c r="K9" i="15"/>
  <c r="F89" i="15"/>
  <c r="F92" i="15" s="1"/>
  <c r="F93" i="15" s="1"/>
  <c r="E22" i="11"/>
  <c r="J109" i="3"/>
  <c r="J107" i="3"/>
  <c r="J105" i="3"/>
  <c r="J106" i="3"/>
  <c r="J104" i="3"/>
  <c r="F51" i="10"/>
  <c r="F54" i="10" s="1"/>
  <c r="F55" i="10" s="1"/>
  <c r="M106" i="3"/>
  <c r="M105" i="3"/>
  <c r="M104" i="3"/>
  <c r="M103" i="3"/>
  <c r="H109" i="3"/>
  <c r="K103" i="3"/>
  <c r="H107" i="3"/>
  <c r="K102" i="3"/>
  <c r="H106" i="3"/>
  <c r="H104" i="3"/>
  <c r="H105" i="3"/>
  <c r="H103" i="3"/>
  <c r="D72" i="2"/>
  <c r="E72" i="2"/>
  <c r="D73" i="2"/>
  <c r="E73" i="2"/>
  <c r="D74" i="2"/>
  <c r="E74" i="2"/>
  <c r="D75" i="2"/>
  <c r="E75" i="2"/>
  <c r="E71" i="2"/>
  <c r="D71" i="2"/>
  <c r="I7" i="10"/>
  <c r="F11" i="11"/>
  <c r="G25" i="11"/>
  <c r="M23" i="11"/>
  <c r="F17" i="11"/>
  <c r="F16" i="11"/>
  <c r="F15" i="11"/>
  <c r="F14" i="11"/>
  <c r="I56" i="7"/>
  <c r="I87" i="10"/>
  <c r="O88" i="10"/>
  <c r="AZ18" i="2"/>
  <c r="Y21" i="2" s="1"/>
  <c r="AE21" i="2" s="1"/>
  <c r="AH21" i="2" s="1"/>
  <c r="AJ21" i="2" s="1"/>
  <c r="Y22" i="2"/>
  <c r="Y23" i="2"/>
  <c r="AR18" i="2"/>
  <c r="AO18" i="2"/>
  <c r="I86" i="10"/>
  <c r="F13" i="11"/>
  <c r="F12" i="11"/>
  <c r="F10" i="11"/>
  <c r="F9" i="11"/>
  <c r="G28" i="11"/>
  <c r="E28" i="11"/>
  <c r="G27" i="11"/>
  <c r="E27" i="11"/>
  <c r="E26" i="11"/>
  <c r="G26" i="11"/>
  <c r="E25" i="11"/>
  <c r="C46" i="2"/>
  <c r="K24" i="11"/>
  <c r="J24" i="11"/>
  <c r="I24" i="11"/>
  <c r="H24" i="11"/>
  <c r="F24" i="11"/>
  <c r="G24" i="11"/>
  <c r="E24" i="11"/>
  <c r="L23" i="11"/>
  <c r="K23" i="11"/>
  <c r="J23" i="11"/>
  <c r="I23" i="11"/>
  <c r="H23" i="11"/>
  <c r="G23" i="11"/>
  <c r="F23" i="11"/>
  <c r="H39" i="2"/>
  <c r="G39" i="2"/>
  <c r="J39" i="2" s="1"/>
  <c r="E23" i="11"/>
  <c r="J22" i="11"/>
  <c r="K22" i="11"/>
  <c r="I22" i="11"/>
  <c r="H22" i="11"/>
  <c r="G22" i="11"/>
  <c r="F22" i="11"/>
  <c r="K21" i="11"/>
  <c r="J21" i="11"/>
  <c r="I21" i="11"/>
  <c r="H21" i="11"/>
  <c r="G21" i="11"/>
  <c r="F21" i="11"/>
  <c r="E21" i="11"/>
  <c r="H20" i="11"/>
  <c r="I20" i="11"/>
  <c r="K20" i="11"/>
  <c r="J20" i="11"/>
  <c r="E20" i="11"/>
  <c r="F20" i="11"/>
  <c r="G20" i="11"/>
  <c r="J6" i="4"/>
  <c r="J40" i="4"/>
  <c r="J48" i="4"/>
  <c r="J32" i="4"/>
  <c r="J26" i="4"/>
  <c r="J12" i="4"/>
  <c r="J28" i="4"/>
  <c r="J15" i="4"/>
  <c r="J57" i="4"/>
  <c r="J66" i="4"/>
  <c r="J60" i="4"/>
  <c r="J72" i="4"/>
  <c r="J76" i="4"/>
  <c r="J78" i="4"/>
  <c r="J73" i="4"/>
  <c r="J36" i="4"/>
  <c r="J74" i="4"/>
  <c r="J35" i="4"/>
  <c r="J71" i="4"/>
  <c r="J75" i="4"/>
  <c r="J20" i="4"/>
  <c r="J29" i="4"/>
  <c r="J23" i="4"/>
  <c r="J41" i="4"/>
  <c r="J33" i="4"/>
  <c r="J16" i="4"/>
  <c r="J67" i="4"/>
  <c r="J7" i="4"/>
  <c r="J49" i="4"/>
  <c r="J37" i="4"/>
  <c r="J55" i="4"/>
  <c r="J56" i="4"/>
  <c r="J61" i="4"/>
  <c r="J58" i="4"/>
  <c r="J79" i="4"/>
  <c r="J77" i="4"/>
  <c r="J8" i="4"/>
  <c r="J62" i="4"/>
  <c r="J9" i="4"/>
  <c r="J59" i="4"/>
  <c r="J10" i="4"/>
  <c r="J11" i="4"/>
  <c r="J80" i="4"/>
  <c r="J81" i="4"/>
  <c r="J30" i="4"/>
  <c r="J17" i="4"/>
  <c r="J64" i="4"/>
  <c r="J68" i="4"/>
  <c r="J38" i="4"/>
  <c r="J13" i="4"/>
  <c r="J14" i="4"/>
  <c r="J21" i="4"/>
  <c r="J22" i="4"/>
  <c r="J27" i="4"/>
  <c r="J31" i="4"/>
  <c r="J24" i="4"/>
  <c r="J25" i="4"/>
  <c r="J42" i="4"/>
  <c r="J34" i="4"/>
  <c r="J18" i="4"/>
  <c r="J19" i="4"/>
  <c r="J50" i="4"/>
  <c r="J69" i="4"/>
  <c r="J39" i="4"/>
  <c r="J82" i="4"/>
  <c r="J43" i="4"/>
  <c r="J51" i="4"/>
  <c r="J44" i="4"/>
  <c r="J52" i="4"/>
  <c r="J45" i="4"/>
  <c r="J53" i="4"/>
  <c r="J46" i="4"/>
  <c r="J65" i="4"/>
  <c r="J70" i="4"/>
  <c r="J47" i="4"/>
  <c r="J54" i="4"/>
  <c r="H6" i="4"/>
  <c r="H40" i="4"/>
  <c r="H48" i="4"/>
  <c r="H32" i="4"/>
  <c r="H26" i="4"/>
  <c r="H12" i="4"/>
  <c r="H28" i="4"/>
  <c r="H15" i="4"/>
  <c r="H57" i="4"/>
  <c r="H66" i="4"/>
  <c r="H60" i="4"/>
  <c r="H72" i="4"/>
  <c r="H76" i="4"/>
  <c r="H78" i="4"/>
  <c r="H73" i="4"/>
  <c r="H36" i="4"/>
  <c r="H74" i="4"/>
  <c r="H35" i="4"/>
  <c r="H71" i="4"/>
  <c r="H75" i="4"/>
  <c r="H20" i="4"/>
  <c r="H29" i="4"/>
  <c r="H23" i="4"/>
  <c r="H41" i="4"/>
  <c r="H33" i="4"/>
  <c r="H16" i="4"/>
  <c r="H67" i="4"/>
  <c r="H7" i="4"/>
  <c r="H49" i="4"/>
  <c r="H37" i="4"/>
  <c r="H55" i="4"/>
  <c r="H56" i="4"/>
  <c r="H61" i="4"/>
  <c r="H58" i="4"/>
  <c r="H79" i="4"/>
  <c r="H77" i="4"/>
  <c r="H8" i="4"/>
  <c r="H62" i="4"/>
  <c r="H9" i="4"/>
  <c r="H59" i="4"/>
  <c r="H10" i="4"/>
  <c r="H11" i="4"/>
  <c r="H80" i="4"/>
  <c r="H81" i="4"/>
  <c r="H30" i="4"/>
  <c r="H17" i="4"/>
  <c r="H64" i="4"/>
  <c r="H68" i="4"/>
  <c r="H38" i="4"/>
  <c r="H13" i="4"/>
  <c r="H14" i="4"/>
  <c r="H21" i="4"/>
  <c r="H22" i="4"/>
  <c r="H27" i="4"/>
  <c r="H31" i="4"/>
  <c r="H24" i="4"/>
  <c r="H25" i="4"/>
  <c r="H42" i="4"/>
  <c r="H34" i="4"/>
  <c r="H18" i="4"/>
  <c r="H19" i="4"/>
  <c r="H50" i="4"/>
  <c r="H69" i="4"/>
  <c r="H39" i="4"/>
  <c r="H82" i="4"/>
  <c r="H43" i="4"/>
  <c r="H51" i="4"/>
  <c r="H44" i="4"/>
  <c r="H52" i="4"/>
  <c r="H45" i="4"/>
  <c r="H53" i="4"/>
  <c r="H46" i="4"/>
  <c r="H65" i="4"/>
  <c r="H70" i="4"/>
  <c r="H47" i="4"/>
  <c r="H54" i="4"/>
  <c r="J63" i="4"/>
  <c r="H63" i="4"/>
  <c r="H83" i="4" s="1"/>
  <c r="J57" i="2"/>
  <c r="K57" i="2" s="1"/>
  <c r="J61" i="2"/>
  <c r="K61" i="2" s="1"/>
  <c r="J65" i="2"/>
  <c r="K65" i="2" s="1"/>
  <c r="J53" i="2"/>
  <c r="K53" i="2" s="1"/>
  <c r="N167" i="6"/>
  <c r="N169" i="6"/>
  <c r="K169" i="6"/>
  <c r="I169" i="6"/>
  <c r="K168" i="6"/>
  <c r="I168" i="6"/>
  <c r="K167" i="6"/>
  <c r="I167" i="6"/>
  <c r="K166" i="6"/>
  <c r="I166" i="6"/>
  <c r="N145" i="6"/>
  <c r="N143" i="6"/>
  <c r="N159" i="6"/>
  <c r="I158" i="6"/>
  <c r="I159" i="6"/>
  <c r="I161" i="6"/>
  <c r="I162" i="6"/>
  <c r="I163" i="6"/>
  <c r="I160" i="6"/>
  <c r="N161" i="6" s="1"/>
  <c r="N153" i="6"/>
  <c r="K155" i="6"/>
  <c r="I155" i="6"/>
  <c r="K154" i="6"/>
  <c r="I154" i="6"/>
  <c r="K163" i="6"/>
  <c r="K162" i="6"/>
  <c r="K161" i="6"/>
  <c r="K160" i="6"/>
  <c r="K151" i="6"/>
  <c r="I151" i="6"/>
  <c r="K146" i="6"/>
  <c r="I146" i="6"/>
  <c r="K145" i="6"/>
  <c r="I145" i="6"/>
  <c r="K144" i="6"/>
  <c r="I144" i="6"/>
  <c r="K152" i="6"/>
  <c r="I152" i="6"/>
  <c r="K153" i="6"/>
  <c r="I153" i="6"/>
  <c r="K159" i="6"/>
  <c r="K158" i="6"/>
  <c r="K143" i="6"/>
  <c r="I143" i="6"/>
  <c r="K142" i="6"/>
  <c r="I142" i="6"/>
  <c r="K137" i="5"/>
  <c r="I137" i="5"/>
  <c r="K136" i="5"/>
  <c r="I136" i="5"/>
  <c r="K135" i="5"/>
  <c r="I135" i="5"/>
  <c r="K134" i="5"/>
  <c r="I134" i="5"/>
  <c r="K165" i="5"/>
  <c r="I165" i="5"/>
  <c r="I150" i="5"/>
  <c r="K150" i="5"/>
  <c r="N94" i="10"/>
  <c r="K164" i="5"/>
  <c r="I164" i="5"/>
  <c r="K163" i="5"/>
  <c r="I163" i="5"/>
  <c r="K162" i="5"/>
  <c r="I162" i="5"/>
  <c r="K161" i="5"/>
  <c r="I161" i="5"/>
  <c r="K151" i="5"/>
  <c r="I151" i="5"/>
  <c r="K141" i="5"/>
  <c r="I141" i="5"/>
  <c r="K140" i="5"/>
  <c r="I140" i="5"/>
  <c r="K139" i="5"/>
  <c r="I139" i="5"/>
  <c r="K149" i="5"/>
  <c r="I149" i="5"/>
  <c r="K148" i="5"/>
  <c r="I148" i="5"/>
  <c r="K147" i="5"/>
  <c r="I147" i="5"/>
  <c r="K146" i="5"/>
  <c r="I146" i="5"/>
  <c r="K145" i="5"/>
  <c r="I145" i="5"/>
  <c r="K133" i="5"/>
  <c r="I133" i="5"/>
  <c r="N134" i="5" s="1"/>
  <c r="X45" i="2"/>
  <c r="X46" i="2"/>
  <c r="X44" i="2"/>
  <c r="W45" i="2"/>
  <c r="W46" i="2"/>
  <c r="W47" i="2"/>
  <c r="W44" i="2"/>
  <c r="V45" i="2"/>
  <c r="V46" i="2"/>
  <c r="V47" i="2"/>
  <c r="X47" i="2" s="1"/>
  <c r="V44" i="2"/>
  <c r="U45" i="2"/>
  <c r="U46" i="2"/>
  <c r="U44" i="2"/>
  <c r="T45" i="2"/>
  <c r="T46" i="2"/>
  <c r="T47" i="2"/>
  <c r="S45" i="2"/>
  <c r="S46" i="2"/>
  <c r="S47" i="2"/>
  <c r="U47" i="2" s="1"/>
  <c r="T44" i="2"/>
  <c r="S44" i="2"/>
  <c r="K38" i="2"/>
  <c r="N38" i="2" s="1"/>
  <c r="K40" i="2"/>
  <c r="N40" i="2" s="1"/>
  <c r="J38" i="2"/>
  <c r="M38" i="2" s="1"/>
  <c r="J40" i="2"/>
  <c r="M40" i="2" s="1"/>
  <c r="X29" i="2"/>
  <c r="X30" i="2"/>
  <c r="X31" i="2"/>
  <c r="X28" i="2"/>
  <c r="V29" i="2"/>
  <c r="W29" i="2"/>
  <c r="V30" i="2"/>
  <c r="W30" i="2"/>
  <c r="V31" i="2"/>
  <c r="W31" i="2"/>
  <c r="W28" i="2"/>
  <c r="V28" i="2"/>
  <c r="U29" i="2"/>
  <c r="U30" i="2"/>
  <c r="U31" i="2"/>
  <c r="U28" i="2"/>
  <c r="T29" i="2"/>
  <c r="T30" i="2"/>
  <c r="T31" i="2"/>
  <c r="S29" i="2"/>
  <c r="S30" i="2"/>
  <c r="S31" i="2"/>
  <c r="T28" i="2"/>
  <c r="S28" i="2"/>
  <c r="AI21" i="2"/>
  <c r="AI22" i="2"/>
  <c r="AI23" i="2"/>
  <c r="AI20" i="2"/>
  <c r="AF21" i="2"/>
  <c r="AF22" i="2"/>
  <c r="AF23" i="2"/>
  <c r="AE22" i="2"/>
  <c r="AH22" i="2" s="1"/>
  <c r="AJ22" i="2" s="1"/>
  <c r="AE23" i="2"/>
  <c r="AH23" i="2" s="1"/>
  <c r="AJ23" i="2" s="1"/>
  <c r="AF20" i="2"/>
  <c r="AA7" i="2"/>
  <c r="AD7" i="2" s="1"/>
  <c r="AB8" i="2"/>
  <c r="AE8" i="2" s="1"/>
  <c r="AB9" i="2"/>
  <c r="AE9" i="2" s="1"/>
  <c r="AB10" i="2"/>
  <c r="AE10" i="2" s="1"/>
  <c r="AB11" i="2"/>
  <c r="AE11" i="2" s="1"/>
  <c r="AB12" i="2"/>
  <c r="AE12" i="2" s="1"/>
  <c r="AB13" i="2"/>
  <c r="AE13" i="2" s="1"/>
  <c r="AA8" i="2"/>
  <c r="AD8" i="2" s="1"/>
  <c r="AA9" i="2"/>
  <c r="AD9" i="2" s="1"/>
  <c r="AA10" i="2"/>
  <c r="AD10" i="2" s="1"/>
  <c r="AA11" i="2"/>
  <c r="AD11" i="2" s="1"/>
  <c r="AA12" i="2"/>
  <c r="AD12" i="2" s="1"/>
  <c r="AA13" i="2"/>
  <c r="AD13" i="2" s="1"/>
  <c r="AB7" i="2"/>
  <c r="AE7" i="2" s="1"/>
  <c r="L159" i="9"/>
  <c r="L157" i="9"/>
  <c r="AL60" i="1"/>
  <c r="AM60" i="1"/>
  <c r="AL56" i="1"/>
  <c r="AK57" i="1" s="1"/>
  <c r="AL55" i="1"/>
  <c r="AL54" i="1"/>
  <c r="AL53" i="1"/>
  <c r="AL52" i="1"/>
  <c r="AL51" i="1"/>
  <c r="AL50" i="1"/>
  <c r="AL49" i="1"/>
  <c r="AL48" i="1"/>
  <c r="AL47" i="1"/>
  <c r="AK44" i="1"/>
  <c r="AK43" i="1"/>
  <c r="AL31" i="1"/>
  <c r="AK41" i="1"/>
  <c r="AJ41" i="1"/>
  <c r="AL30" i="1"/>
  <c r="AL29" i="1"/>
  <c r="AH64" i="1"/>
  <c r="AH63" i="1"/>
  <c r="AH61" i="1"/>
  <c r="AH60" i="1"/>
  <c r="AH57" i="1"/>
  <c r="AH51" i="1"/>
  <c r="AF56" i="1"/>
  <c r="AF55" i="1"/>
  <c r="AF54" i="1"/>
  <c r="AF53" i="1"/>
  <c r="AF52" i="1"/>
  <c r="AF51" i="1"/>
  <c r="AF50" i="1"/>
  <c r="AF49" i="1"/>
  <c r="AF48" i="1"/>
  <c r="AF47" i="1"/>
  <c r="AF31" i="1"/>
  <c r="AE43" i="1"/>
  <c r="AF43" i="1" s="1"/>
  <c r="AE32" i="1"/>
  <c r="AE31" i="1"/>
  <c r="N96" i="10"/>
  <c r="N98" i="10"/>
  <c r="N122" i="6"/>
  <c r="N118" i="6"/>
  <c r="N120" i="6"/>
  <c r="O120" i="6"/>
  <c r="K138" i="6"/>
  <c r="I138" i="6"/>
  <c r="K137" i="6"/>
  <c r="I137" i="6"/>
  <c r="K136" i="6"/>
  <c r="I136" i="6"/>
  <c r="K135" i="6"/>
  <c r="I135" i="6"/>
  <c r="K134" i="6"/>
  <c r="I134" i="6"/>
  <c r="K133" i="6"/>
  <c r="I133" i="6"/>
  <c r="K132" i="6"/>
  <c r="I132" i="6"/>
  <c r="K131" i="6"/>
  <c r="I131" i="6"/>
  <c r="K130" i="6"/>
  <c r="I130" i="6"/>
  <c r="K129" i="6"/>
  <c r="I129" i="6"/>
  <c r="K128" i="6"/>
  <c r="I128" i="6"/>
  <c r="K127" i="6"/>
  <c r="I127" i="6"/>
  <c r="K126" i="6"/>
  <c r="I126" i="6"/>
  <c r="K125" i="6"/>
  <c r="I125" i="6"/>
  <c r="K124" i="6"/>
  <c r="I124" i="6"/>
  <c r="K123" i="6"/>
  <c r="I123" i="6"/>
  <c r="K122" i="6"/>
  <c r="I122" i="6"/>
  <c r="K121" i="6"/>
  <c r="I121" i="6"/>
  <c r="K120" i="6"/>
  <c r="I120" i="6"/>
  <c r="K119" i="6"/>
  <c r="I119" i="6"/>
  <c r="K118" i="6"/>
  <c r="I118" i="6"/>
  <c r="K117" i="6"/>
  <c r="I117" i="6"/>
  <c r="K116" i="6"/>
  <c r="I116" i="6"/>
  <c r="N116" i="5"/>
  <c r="K131" i="5"/>
  <c r="I131" i="5"/>
  <c r="K130" i="5"/>
  <c r="I130" i="5"/>
  <c r="K129" i="5"/>
  <c r="I129" i="5"/>
  <c r="K128" i="5"/>
  <c r="I128" i="5"/>
  <c r="K127" i="5"/>
  <c r="I127" i="5"/>
  <c r="K126" i="5"/>
  <c r="I126" i="5"/>
  <c r="K125" i="5"/>
  <c r="I125" i="5"/>
  <c r="K124" i="5"/>
  <c r="I124" i="5"/>
  <c r="K123" i="5"/>
  <c r="I123" i="5"/>
  <c r="K122" i="5"/>
  <c r="I122" i="5"/>
  <c r="K121" i="5"/>
  <c r="I121" i="5"/>
  <c r="K120" i="5"/>
  <c r="I120" i="5"/>
  <c r="K119" i="5"/>
  <c r="I119" i="5"/>
  <c r="K118" i="5"/>
  <c r="I118" i="5"/>
  <c r="K117" i="5"/>
  <c r="I117" i="5"/>
  <c r="K116" i="5"/>
  <c r="I116" i="5"/>
  <c r="K114" i="5"/>
  <c r="I114" i="5"/>
  <c r="K113" i="5"/>
  <c r="I113" i="5"/>
  <c r="K112" i="5"/>
  <c r="O114" i="5" s="1"/>
  <c r="I112" i="5"/>
  <c r="K111" i="5"/>
  <c r="I111" i="5"/>
  <c r="N112" i="5" s="1"/>
  <c r="K110" i="5"/>
  <c r="I110" i="5"/>
  <c r="K109" i="5"/>
  <c r="I109" i="5"/>
  <c r="N110" i="5" s="1"/>
  <c r="F42" i="1"/>
  <c r="H37" i="2"/>
  <c r="K37" i="2" s="1"/>
  <c r="G37" i="2"/>
  <c r="J37" i="2" s="1"/>
  <c r="M37" i="2" s="1"/>
  <c r="C41" i="1"/>
  <c r="B41" i="1"/>
  <c r="F43" i="1"/>
  <c r="G43" i="1"/>
  <c r="G49" i="1"/>
  <c r="G47" i="1"/>
  <c r="E34" i="5"/>
  <c r="G41" i="1"/>
  <c r="G40" i="1"/>
  <c r="B39" i="1"/>
  <c r="K114" i="6"/>
  <c r="I114" i="6"/>
  <c r="K113" i="6"/>
  <c r="I113" i="6"/>
  <c r="AB24" i="3"/>
  <c r="Z24" i="3"/>
  <c r="O86" i="10"/>
  <c r="O97" i="6"/>
  <c r="O95" i="6"/>
  <c r="O103" i="6"/>
  <c r="O101" i="6"/>
  <c r="O99" i="6"/>
  <c r="P97" i="6"/>
  <c r="AG15" i="3"/>
  <c r="AF15" i="3"/>
  <c r="AB23" i="3"/>
  <c r="Z23" i="3"/>
  <c r="AH11" i="3"/>
  <c r="AF11" i="3"/>
  <c r="AF14" i="3"/>
  <c r="AF12" i="3"/>
  <c r="AB22" i="3"/>
  <c r="Z22" i="3"/>
  <c r="AB21" i="3"/>
  <c r="Z21" i="3"/>
  <c r="AB20" i="3"/>
  <c r="Z20" i="3"/>
  <c r="AF13" i="3" s="1"/>
  <c r="AB19" i="3"/>
  <c r="Z19" i="3"/>
  <c r="AB18" i="3"/>
  <c r="Z18" i="3"/>
  <c r="AB16" i="3"/>
  <c r="Z16" i="3"/>
  <c r="AB15" i="3"/>
  <c r="Z15" i="3"/>
  <c r="AB14" i="3"/>
  <c r="Z14" i="3"/>
  <c r="AB13" i="3"/>
  <c r="AH12" i="3" s="1"/>
  <c r="Z13" i="3"/>
  <c r="AB12" i="3"/>
  <c r="Z12" i="3"/>
  <c r="AB10" i="3"/>
  <c r="Z10" i="3"/>
  <c r="AF10" i="3" s="1"/>
  <c r="N78" i="10"/>
  <c r="K105" i="10"/>
  <c r="I105" i="10"/>
  <c r="K104" i="10"/>
  <c r="I104" i="10"/>
  <c r="K103" i="10"/>
  <c r="I103" i="10"/>
  <c r="K102" i="10"/>
  <c r="I102" i="10"/>
  <c r="K101" i="10"/>
  <c r="I101" i="10"/>
  <c r="K100" i="10"/>
  <c r="I100" i="10"/>
  <c r="K99" i="10"/>
  <c r="I99" i="10"/>
  <c r="K98" i="10"/>
  <c r="I98" i="10"/>
  <c r="K97" i="10"/>
  <c r="I97" i="10"/>
  <c r="K96" i="10"/>
  <c r="I96" i="10"/>
  <c r="K95" i="10"/>
  <c r="I95" i="10"/>
  <c r="K94" i="10"/>
  <c r="I94" i="10"/>
  <c r="K93" i="10"/>
  <c r="I93" i="10"/>
  <c r="K92" i="10"/>
  <c r="I92" i="10"/>
  <c r="K91" i="10"/>
  <c r="I91" i="10"/>
  <c r="K90" i="10"/>
  <c r="I90" i="10"/>
  <c r="K89" i="10"/>
  <c r="I89" i="10"/>
  <c r="K88" i="10"/>
  <c r="I88" i="10"/>
  <c r="K87" i="10"/>
  <c r="K86" i="10"/>
  <c r="K85" i="10"/>
  <c r="I85" i="10"/>
  <c r="K84" i="10"/>
  <c r="I84" i="10"/>
  <c r="K83" i="10"/>
  <c r="I83" i="10"/>
  <c r="K82" i="10"/>
  <c r="I82" i="10"/>
  <c r="K81" i="10"/>
  <c r="I81" i="10"/>
  <c r="K80" i="10"/>
  <c r="I80" i="10"/>
  <c r="K79" i="10"/>
  <c r="I79" i="10"/>
  <c r="K78" i="10"/>
  <c r="I78" i="10"/>
  <c r="K77" i="10"/>
  <c r="I77" i="10"/>
  <c r="K76" i="10"/>
  <c r="I76" i="10"/>
  <c r="K75" i="10"/>
  <c r="I75" i="10"/>
  <c r="K74" i="10"/>
  <c r="I74" i="10"/>
  <c r="K73" i="10"/>
  <c r="I73" i="10"/>
  <c r="K72" i="10"/>
  <c r="I72" i="10"/>
  <c r="K71" i="10"/>
  <c r="I71" i="10"/>
  <c r="K70" i="10"/>
  <c r="I70" i="10"/>
  <c r="K69" i="10"/>
  <c r="I69" i="10"/>
  <c r="K68" i="10"/>
  <c r="I68" i="10"/>
  <c r="K67" i="10"/>
  <c r="I67" i="10"/>
  <c r="K66" i="10"/>
  <c r="I66" i="10"/>
  <c r="K65" i="10"/>
  <c r="I65" i="10"/>
  <c r="K64" i="10"/>
  <c r="I64" i="10"/>
  <c r="K63" i="10"/>
  <c r="I63" i="10"/>
  <c r="I189" i="9"/>
  <c r="G189" i="9"/>
  <c r="I188" i="9"/>
  <c r="G188" i="9"/>
  <c r="I187" i="9"/>
  <c r="G187" i="9"/>
  <c r="I186" i="9"/>
  <c r="G186" i="9"/>
  <c r="I185" i="9"/>
  <c r="G185" i="9"/>
  <c r="I184" i="9"/>
  <c r="G184" i="9"/>
  <c r="I183" i="9"/>
  <c r="G183" i="9"/>
  <c r="I182" i="9"/>
  <c r="G182" i="9"/>
  <c r="I181" i="9"/>
  <c r="G181" i="9"/>
  <c r="I180" i="9"/>
  <c r="G180" i="9"/>
  <c r="I179" i="9"/>
  <c r="G179" i="9"/>
  <c r="I178" i="9"/>
  <c r="G178" i="9"/>
  <c r="I177" i="9"/>
  <c r="G177" i="9"/>
  <c r="I176" i="9"/>
  <c r="G176" i="9"/>
  <c r="I175" i="9"/>
  <c r="G175" i="9"/>
  <c r="I174" i="9"/>
  <c r="G174" i="9"/>
  <c r="I173" i="9"/>
  <c r="G173" i="9"/>
  <c r="I172" i="9"/>
  <c r="G172" i="9"/>
  <c r="I171" i="9"/>
  <c r="G171" i="9"/>
  <c r="I170" i="9"/>
  <c r="G170" i="9"/>
  <c r="I169" i="9"/>
  <c r="G169" i="9"/>
  <c r="I168" i="9"/>
  <c r="G168" i="9"/>
  <c r="I167" i="9"/>
  <c r="G167" i="9"/>
  <c r="I166" i="9"/>
  <c r="G166" i="9"/>
  <c r="I165" i="9"/>
  <c r="G165" i="9"/>
  <c r="I164" i="9"/>
  <c r="G164" i="9"/>
  <c r="I163" i="9"/>
  <c r="G163" i="9"/>
  <c r="I162" i="9"/>
  <c r="G162" i="9"/>
  <c r="I161" i="9"/>
  <c r="G161" i="9"/>
  <c r="I160" i="9"/>
  <c r="G160" i="9"/>
  <c r="I159" i="9"/>
  <c r="G159" i="9"/>
  <c r="I158" i="9"/>
  <c r="G158" i="9"/>
  <c r="I157" i="9"/>
  <c r="G157" i="9"/>
  <c r="I156" i="9"/>
  <c r="G156" i="9"/>
  <c r="I155" i="9"/>
  <c r="G155" i="9"/>
  <c r="I154" i="9"/>
  <c r="G154" i="9"/>
  <c r="I153" i="9"/>
  <c r="G153" i="9"/>
  <c r="I152" i="9"/>
  <c r="G152" i="9"/>
  <c r="I151" i="9"/>
  <c r="G151" i="9"/>
  <c r="I150" i="9"/>
  <c r="G150" i="9"/>
  <c r="I149" i="9"/>
  <c r="G149" i="9"/>
  <c r="I148" i="9"/>
  <c r="G148" i="9"/>
  <c r="I147" i="9"/>
  <c r="G147" i="9"/>
  <c r="I146" i="9"/>
  <c r="G146" i="9"/>
  <c r="I145" i="9"/>
  <c r="G145" i="9"/>
  <c r="I144" i="9"/>
  <c r="G144" i="9"/>
  <c r="I143" i="9"/>
  <c r="G143" i="9"/>
  <c r="I142" i="9"/>
  <c r="G142" i="9"/>
  <c r="I141" i="9"/>
  <c r="G141" i="9"/>
  <c r="I140" i="9"/>
  <c r="G140" i="9"/>
  <c r="I139" i="9"/>
  <c r="G139" i="9"/>
  <c r="I138" i="9"/>
  <c r="G138" i="9"/>
  <c r="I137" i="9"/>
  <c r="G137" i="9"/>
  <c r="I136" i="9"/>
  <c r="G136" i="9"/>
  <c r="I135" i="9"/>
  <c r="G135" i="9"/>
  <c r="I134" i="9"/>
  <c r="G134" i="9"/>
  <c r="I133" i="9"/>
  <c r="G133" i="9"/>
  <c r="I132" i="9"/>
  <c r="G132" i="9"/>
  <c r="I131" i="9"/>
  <c r="G131" i="9"/>
  <c r="I130" i="9"/>
  <c r="G130" i="9"/>
  <c r="I129" i="9"/>
  <c r="G129" i="9"/>
  <c r="I128" i="9"/>
  <c r="G128" i="9"/>
  <c r="I127" i="9"/>
  <c r="G127" i="9"/>
  <c r="I126" i="9"/>
  <c r="G126" i="9"/>
  <c r="I125" i="9"/>
  <c r="G125" i="9"/>
  <c r="I124" i="9"/>
  <c r="G124" i="9"/>
  <c r="I123" i="9"/>
  <c r="G123" i="9"/>
  <c r="I122" i="9"/>
  <c r="G122" i="9"/>
  <c r="I121" i="9"/>
  <c r="G121" i="9"/>
  <c r="I120" i="9"/>
  <c r="G120" i="9"/>
  <c r="I119" i="9"/>
  <c r="G119" i="9"/>
  <c r="I118" i="9"/>
  <c r="G118" i="9"/>
  <c r="I117" i="9"/>
  <c r="G117" i="9"/>
  <c r="I116" i="9"/>
  <c r="G116" i="9"/>
  <c r="I115" i="9"/>
  <c r="G115" i="9"/>
  <c r="I114" i="9"/>
  <c r="G114" i="9"/>
  <c r="I113" i="9"/>
  <c r="G113" i="9"/>
  <c r="I112" i="9"/>
  <c r="G112" i="9"/>
  <c r="I111" i="9"/>
  <c r="G111" i="9"/>
  <c r="I110" i="9"/>
  <c r="G110" i="9"/>
  <c r="I109" i="9"/>
  <c r="G109" i="9"/>
  <c r="I108" i="9"/>
  <c r="G108" i="9"/>
  <c r="I107" i="9"/>
  <c r="G107" i="9"/>
  <c r="I106" i="9"/>
  <c r="G106" i="9"/>
  <c r="G190" i="9" s="1"/>
  <c r="H192" i="9" s="1"/>
  <c r="H193" i="9" s="1"/>
  <c r="I105" i="9"/>
  <c r="I190" i="9" s="1"/>
  <c r="G105" i="9"/>
  <c r="I70" i="9"/>
  <c r="I38" i="9"/>
  <c r="I34" i="9"/>
  <c r="I63" i="9"/>
  <c r="I29" i="9"/>
  <c r="I22" i="9"/>
  <c r="I33" i="9"/>
  <c r="I16" i="9"/>
  <c r="I13" i="9"/>
  <c r="I45" i="9"/>
  <c r="I46" i="9"/>
  <c r="I26" i="9"/>
  <c r="I60" i="9"/>
  <c r="I62" i="9"/>
  <c r="I57" i="9"/>
  <c r="I28" i="9"/>
  <c r="I74" i="9"/>
  <c r="I80" i="9"/>
  <c r="I78" i="9"/>
  <c r="I49" i="9"/>
  <c r="I89" i="9"/>
  <c r="I90" i="9"/>
  <c r="I91" i="9"/>
  <c r="I92" i="9"/>
  <c r="I21" i="9"/>
  <c r="I75" i="9"/>
  <c r="I76" i="9"/>
  <c r="I73" i="9"/>
  <c r="I43" i="9"/>
  <c r="I42" i="9"/>
  <c r="I53" i="9"/>
  <c r="I85" i="9"/>
  <c r="I86" i="9"/>
  <c r="I87" i="9"/>
  <c r="I88" i="9"/>
  <c r="I20" i="9"/>
  <c r="I54" i="9"/>
  <c r="I65" i="9"/>
  <c r="I55" i="9"/>
  <c r="I83" i="9"/>
  <c r="I81" i="9"/>
  <c r="I59" i="9"/>
  <c r="I56" i="9"/>
  <c r="I79" i="9"/>
  <c r="I77" i="9"/>
  <c r="I10" i="9"/>
  <c r="I82" i="9"/>
  <c r="I61" i="9"/>
  <c r="I11" i="9"/>
  <c r="I12" i="9"/>
  <c r="I58" i="9"/>
  <c r="I35" i="9"/>
  <c r="I17" i="9"/>
  <c r="I48" i="9"/>
  <c r="I64" i="9"/>
  <c r="I30" i="9"/>
  <c r="I40" i="9"/>
  <c r="I41" i="9"/>
  <c r="I36" i="9"/>
  <c r="I37" i="9"/>
  <c r="I18" i="9"/>
  <c r="I19" i="9"/>
  <c r="I14" i="9"/>
  <c r="I15" i="9"/>
  <c r="I50" i="9"/>
  <c r="I27" i="9"/>
  <c r="I66" i="9"/>
  <c r="I67" i="9"/>
  <c r="I31" i="9"/>
  <c r="I32" i="9"/>
  <c r="I23" i="9"/>
  <c r="I24" i="9"/>
  <c r="I25" i="9"/>
  <c r="I9" i="9"/>
  <c r="I51" i="9"/>
  <c r="I69" i="9"/>
  <c r="I84" i="9"/>
  <c r="I44" i="9"/>
  <c r="I52" i="9"/>
  <c r="I39" i="9"/>
  <c r="I47" i="9"/>
  <c r="I71" i="9"/>
  <c r="I68" i="9"/>
  <c r="I72" i="9"/>
  <c r="G70" i="9"/>
  <c r="G38" i="9"/>
  <c r="G34" i="9"/>
  <c r="G63" i="9"/>
  <c r="G29" i="9"/>
  <c r="G22" i="9"/>
  <c r="G33" i="9"/>
  <c r="G16" i="9"/>
  <c r="G13" i="9"/>
  <c r="G45" i="9"/>
  <c r="G46" i="9"/>
  <c r="G26" i="9"/>
  <c r="G60" i="9"/>
  <c r="G62" i="9"/>
  <c r="G57" i="9"/>
  <c r="G28" i="9"/>
  <c r="G74" i="9"/>
  <c r="G80" i="9"/>
  <c r="G78" i="9"/>
  <c r="G49" i="9"/>
  <c r="G89" i="9"/>
  <c r="G90" i="9"/>
  <c r="G91" i="9"/>
  <c r="G92" i="9"/>
  <c r="G21" i="9"/>
  <c r="G75" i="9"/>
  <c r="G76" i="9"/>
  <c r="G73" i="9"/>
  <c r="G43" i="9"/>
  <c r="G42" i="9"/>
  <c r="G53" i="9"/>
  <c r="G85" i="9"/>
  <c r="G86" i="9"/>
  <c r="G87" i="9"/>
  <c r="G88" i="9"/>
  <c r="G20" i="9"/>
  <c r="G54" i="9"/>
  <c r="G65" i="9"/>
  <c r="G55" i="9"/>
  <c r="G83" i="9"/>
  <c r="G81" i="9"/>
  <c r="G59" i="9"/>
  <c r="G56" i="9"/>
  <c r="G79" i="9"/>
  <c r="G77" i="9"/>
  <c r="G10" i="9"/>
  <c r="G82" i="9"/>
  <c r="G61" i="9"/>
  <c r="G11" i="9"/>
  <c r="G12" i="9"/>
  <c r="G58" i="9"/>
  <c r="G35" i="9"/>
  <c r="G17" i="9"/>
  <c r="G48" i="9"/>
  <c r="G64" i="9"/>
  <c r="G30" i="9"/>
  <c r="G40" i="9"/>
  <c r="G41" i="9"/>
  <c r="G36" i="9"/>
  <c r="G37" i="9"/>
  <c r="G18" i="9"/>
  <c r="G19" i="9"/>
  <c r="G14" i="9"/>
  <c r="G15" i="9"/>
  <c r="G50" i="9"/>
  <c r="G27" i="9"/>
  <c r="G66" i="9"/>
  <c r="G67" i="9"/>
  <c r="G31" i="9"/>
  <c r="G32" i="9"/>
  <c r="G23" i="9"/>
  <c r="G24" i="9"/>
  <c r="G25" i="9"/>
  <c r="G9" i="9"/>
  <c r="G51" i="9"/>
  <c r="G69" i="9"/>
  <c r="G84" i="9"/>
  <c r="G44" i="9"/>
  <c r="G52" i="9"/>
  <c r="G39" i="9"/>
  <c r="G47" i="9"/>
  <c r="G71" i="9"/>
  <c r="G68" i="9"/>
  <c r="G72" i="9"/>
  <c r="I8" i="9"/>
  <c r="G8" i="9"/>
  <c r="M178" i="8"/>
  <c r="K178" i="8"/>
  <c r="M177" i="8"/>
  <c r="K177" i="8"/>
  <c r="M176" i="8"/>
  <c r="K176" i="8"/>
  <c r="M175" i="8"/>
  <c r="K175" i="8"/>
  <c r="M174" i="8"/>
  <c r="K174" i="8"/>
  <c r="M173" i="8"/>
  <c r="K173" i="8"/>
  <c r="M172" i="8"/>
  <c r="K172" i="8"/>
  <c r="M171" i="8"/>
  <c r="K171" i="8"/>
  <c r="M170" i="8"/>
  <c r="K170" i="8"/>
  <c r="M169" i="8"/>
  <c r="K169" i="8"/>
  <c r="M168" i="8"/>
  <c r="K168" i="8"/>
  <c r="M167" i="8"/>
  <c r="K167" i="8"/>
  <c r="M166" i="8"/>
  <c r="K166" i="8"/>
  <c r="M165" i="8"/>
  <c r="K165" i="8"/>
  <c r="M164" i="8"/>
  <c r="K164" i="8"/>
  <c r="M163" i="8"/>
  <c r="K163" i="8"/>
  <c r="M162" i="8"/>
  <c r="K162" i="8"/>
  <c r="M161" i="8"/>
  <c r="K161" i="8"/>
  <c r="M160" i="8"/>
  <c r="K160" i="8"/>
  <c r="M159" i="8"/>
  <c r="K159" i="8"/>
  <c r="M158" i="8"/>
  <c r="K158" i="8"/>
  <c r="M157" i="8"/>
  <c r="K157" i="8"/>
  <c r="M156" i="8"/>
  <c r="K156" i="8"/>
  <c r="M155" i="8"/>
  <c r="K155" i="8"/>
  <c r="M154" i="8"/>
  <c r="K154" i="8"/>
  <c r="M153" i="8"/>
  <c r="K153" i="8"/>
  <c r="M152" i="8"/>
  <c r="K152" i="8"/>
  <c r="M151" i="8"/>
  <c r="K151" i="8"/>
  <c r="M150" i="8"/>
  <c r="K150" i="8"/>
  <c r="M149" i="8"/>
  <c r="K149" i="8"/>
  <c r="M148" i="8"/>
  <c r="K148" i="8"/>
  <c r="M147" i="8"/>
  <c r="K147" i="8"/>
  <c r="M146" i="8"/>
  <c r="K146" i="8"/>
  <c r="M145" i="8"/>
  <c r="K145" i="8"/>
  <c r="M144" i="8"/>
  <c r="K144" i="8"/>
  <c r="M143" i="8"/>
  <c r="K143" i="8"/>
  <c r="M142" i="8"/>
  <c r="K142" i="8"/>
  <c r="M141" i="8"/>
  <c r="K141" i="8"/>
  <c r="M140" i="8"/>
  <c r="K140" i="8"/>
  <c r="M139" i="8"/>
  <c r="K139" i="8"/>
  <c r="M138" i="8"/>
  <c r="K138" i="8"/>
  <c r="M137" i="8"/>
  <c r="K137" i="8"/>
  <c r="M136" i="8"/>
  <c r="K136" i="8"/>
  <c r="M135" i="8"/>
  <c r="K135" i="8"/>
  <c r="M134" i="8"/>
  <c r="K134" i="8"/>
  <c r="M133" i="8"/>
  <c r="K133" i="8"/>
  <c r="M132" i="8"/>
  <c r="K132" i="8"/>
  <c r="M131" i="8"/>
  <c r="K131" i="8"/>
  <c r="M130" i="8"/>
  <c r="K130" i="8"/>
  <c r="M129" i="8"/>
  <c r="K129" i="8"/>
  <c r="M128" i="8"/>
  <c r="K128" i="8"/>
  <c r="M127" i="8"/>
  <c r="K127" i="8"/>
  <c r="M126" i="8"/>
  <c r="K126" i="8"/>
  <c r="M125" i="8"/>
  <c r="K125" i="8"/>
  <c r="M124" i="8"/>
  <c r="K124" i="8"/>
  <c r="M123" i="8"/>
  <c r="K123" i="8"/>
  <c r="M122" i="8"/>
  <c r="K122" i="8"/>
  <c r="M121" i="8"/>
  <c r="K121" i="8"/>
  <c r="M120" i="8"/>
  <c r="K120" i="8"/>
  <c r="M119" i="8"/>
  <c r="K119" i="8"/>
  <c r="M118" i="8"/>
  <c r="K118" i="8"/>
  <c r="M117" i="8"/>
  <c r="K117" i="8"/>
  <c r="M116" i="8"/>
  <c r="K116" i="8"/>
  <c r="M115" i="8"/>
  <c r="K115" i="8"/>
  <c r="M114" i="8"/>
  <c r="K114" i="8"/>
  <c r="M113" i="8"/>
  <c r="K113" i="8"/>
  <c r="M112" i="8"/>
  <c r="K112" i="8"/>
  <c r="M111" i="8"/>
  <c r="K111" i="8"/>
  <c r="M110" i="8"/>
  <c r="K110" i="8"/>
  <c r="M109" i="8"/>
  <c r="K109" i="8"/>
  <c r="M108" i="8"/>
  <c r="K108" i="8"/>
  <c r="M107" i="8"/>
  <c r="K107" i="8"/>
  <c r="M106" i="8"/>
  <c r="K106" i="8"/>
  <c r="M105" i="8"/>
  <c r="K105" i="8"/>
  <c r="M104" i="8"/>
  <c r="K104" i="8"/>
  <c r="M103" i="8"/>
  <c r="K103" i="8"/>
  <c r="M102" i="8"/>
  <c r="K102" i="8"/>
  <c r="M101" i="8"/>
  <c r="K101" i="8"/>
  <c r="M100" i="8"/>
  <c r="K100" i="8"/>
  <c r="M99" i="8"/>
  <c r="K99" i="8"/>
  <c r="K42" i="8"/>
  <c r="K51" i="8"/>
  <c r="K6" i="8"/>
  <c r="K41" i="8"/>
  <c r="K50" i="8"/>
  <c r="K32" i="8"/>
  <c r="K26" i="8"/>
  <c r="K12" i="8"/>
  <c r="K28" i="8"/>
  <c r="K15" i="8"/>
  <c r="K68" i="8"/>
  <c r="K60" i="8"/>
  <c r="K63" i="8"/>
  <c r="K74" i="8"/>
  <c r="K79" i="8"/>
  <c r="K81" i="8"/>
  <c r="K75" i="8"/>
  <c r="K36" i="8"/>
  <c r="K76" i="8"/>
  <c r="K35" i="8"/>
  <c r="K73" i="8"/>
  <c r="K77" i="8"/>
  <c r="K22" i="8"/>
  <c r="K31" i="8"/>
  <c r="K25" i="8"/>
  <c r="K48" i="8"/>
  <c r="K34" i="8"/>
  <c r="K19" i="8"/>
  <c r="K56" i="8"/>
  <c r="K7" i="8"/>
  <c r="K39" i="8"/>
  <c r="K71" i="8"/>
  <c r="K83" i="8"/>
  <c r="K57" i="8"/>
  <c r="K58" i="8"/>
  <c r="K62" i="8"/>
  <c r="K59" i="8"/>
  <c r="K80" i="8"/>
  <c r="K78" i="8"/>
  <c r="K8" i="8"/>
  <c r="K64" i="8"/>
  <c r="K9" i="8"/>
  <c r="K61" i="8"/>
  <c r="K10" i="8"/>
  <c r="K11" i="8"/>
  <c r="K84" i="8"/>
  <c r="K85" i="8"/>
  <c r="K29" i="8"/>
  <c r="K16" i="8"/>
  <c r="K53" i="8"/>
  <c r="K66" i="8"/>
  <c r="K69" i="8"/>
  <c r="K54" i="8"/>
  <c r="K37" i="8"/>
  <c r="K13" i="8"/>
  <c r="K14" i="8"/>
  <c r="K46" i="8"/>
  <c r="K20" i="8"/>
  <c r="K21" i="8"/>
  <c r="K27" i="8"/>
  <c r="K30" i="8"/>
  <c r="K23" i="8"/>
  <c r="K24" i="8"/>
  <c r="K33" i="8"/>
  <c r="K17" i="8"/>
  <c r="K18" i="8"/>
  <c r="K70" i="8"/>
  <c r="K38" i="8"/>
  <c r="K47" i="8"/>
  <c r="K55" i="8"/>
  <c r="K82" i="8"/>
  <c r="K40" i="8"/>
  <c r="K49" i="8"/>
  <c r="K43" i="8"/>
  <c r="K52" i="8"/>
  <c r="K44" i="8"/>
  <c r="K45" i="8"/>
  <c r="K67" i="8"/>
  <c r="K72" i="8"/>
  <c r="I42" i="8"/>
  <c r="I51" i="8"/>
  <c r="I6" i="8"/>
  <c r="I41" i="8"/>
  <c r="I50" i="8"/>
  <c r="I32" i="8"/>
  <c r="I26" i="8"/>
  <c r="I12" i="8"/>
  <c r="I28" i="8"/>
  <c r="I15" i="8"/>
  <c r="I68" i="8"/>
  <c r="I60" i="8"/>
  <c r="I63" i="8"/>
  <c r="I74" i="8"/>
  <c r="I79" i="8"/>
  <c r="I81" i="8"/>
  <c r="I75" i="8"/>
  <c r="I36" i="8"/>
  <c r="I76" i="8"/>
  <c r="I35" i="8"/>
  <c r="I73" i="8"/>
  <c r="I77" i="8"/>
  <c r="I22" i="8"/>
  <c r="I31" i="8"/>
  <c r="I25" i="8"/>
  <c r="I48" i="8"/>
  <c r="I34" i="8"/>
  <c r="I19" i="8"/>
  <c r="I56" i="8"/>
  <c r="I7" i="8"/>
  <c r="I39" i="8"/>
  <c r="I71" i="8"/>
  <c r="I83" i="8"/>
  <c r="I57" i="8"/>
  <c r="I58" i="8"/>
  <c r="I62" i="8"/>
  <c r="I59" i="8"/>
  <c r="I80" i="8"/>
  <c r="I78" i="8"/>
  <c r="I8" i="8"/>
  <c r="I64" i="8"/>
  <c r="I9" i="8"/>
  <c r="I61" i="8"/>
  <c r="I10" i="8"/>
  <c r="I11" i="8"/>
  <c r="I84" i="8"/>
  <c r="I85" i="8"/>
  <c r="I29" i="8"/>
  <c r="I16" i="8"/>
  <c r="I53" i="8"/>
  <c r="I66" i="8"/>
  <c r="I69" i="8"/>
  <c r="I54" i="8"/>
  <c r="I37" i="8"/>
  <c r="I13" i="8"/>
  <c r="I14" i="8"/>
  <c r="I46" i="8"/>
  <c r="I20" i="8"/>
  <c r="I21" i="8"/>
  <c r="I27" i="8"/>
  <c r="I30" i="8"/>
  <c r="I23" i="8"/>
  <c r="I24" i="8"/>
  <c r="I33" i="8"/>
  <c r="I17" i="8"/>
  <c r="I18" i="8"/>
  <c r="I70" i="8"/>
  <c r="I38" i="8"/>
  <c r="I47" i="8"/>
  <c r="I55" i="8"/>
  <c r="I82" i="8"/>
  <c r="I40" i="8"/>
  <c r="I49" i="8"/>
  <c r="I43" i="8"/>
  <c r="I52" i="8"/>
  <c r="I44" i="8"/>
  <c r="I45" i="8"/>
  <c r="I67" i="8"/>
  <c r="I72" i="8"/>
  <c r="K65" i="8"/>
  <c r="I65" i="8"/>
  <c r="M104" i="7"/>
  <c r="K104" i="7"/>
  <c r="M103" i="7"/>
  <c r="K103" i="7"/>
  <c r="M102" i="7"/>
  <c r="K102" i="7"/>
  <c r="M101" i="7"/>
  <c r="K101" i="7"/>
  <c r="M100" i="7"/>
  <c r="K100" i="7"/>
  <c r="K46" i="7"/>
  <c r="K54" i="7"/>
  <c r="K7" i="7"/>
  <c r="K47" i="7"/>
  <c r="K55" i="7"/>
  <c r="K34" i="7"/>
  <c r="K27" i="7"/>
  <c r="K14" i="7"/>
  <c r="K31" i="7"/>
  <c r="K19" i="7"/>
  <c r="K60" i="7"/>
  <c r="K72" i="7"/>
  <c r="K63" i="7"/>
  <c r="K76" i="7"/>
  <c r="K78" i="7"/>
  <c r="K80" i="7"/>
  <c r="K74" i="7"/>
  <c r="K36" i="7"/>
  <c r="K75" i="7"/>
  <c r="K35" i="7"/>
  <c r="K73" i="7"/>
  <c r="K77" i="7"/>
  <c r="K20" i="7"/>
  <c r="K28" i="7"/>
  <c r="K23" i="7"/>
  <c r="K40" i="7"/>
  <c r="K32" i="7"/>
  <c r="K15" i="7"/>
  <c r="K49" i="7"/>
  <c r="K6" i="7"/>
  <c r="K37" i="7"/>
  <c r="K69" i="7"/>
  <c r="K84" i="7"/>
  <c r="K58" i="7"/>
  <c r="K57" i="7"/>
  <c r="K64" i="7"/>
  <c r="K61" i="7"/>
  <c r="K81" i="7"/>
  <c r="K79" i="7"/>
  <c r="K8" i="7"/>
  <c r="K62" i="7"/>
  <c r="K9" i="7"/>
  <c r="K59" i="7"/>
  <c r="K10" i="7"/>
  <c r="K11" i="7"/>
  <c r="K82" i="7"/>
  <c r="K83" i="7"/>
  <c r="K30" i="7"/>
  <c r="K18" i="7"/>
  <c r="K51" i="7"/>
  <c r="K66" i="7"/>
  <c r="K71" i="7"/>
  <c r="K52" i="7"/>
  <c r="K39" i="7"/>
  <c r="K12" i="7"/>
  <c r="K13" i="7"/>
  <c r="K42" i="7"/>
  <c r="K21" i="7"/>
  <c r="K22" i="7"/>
  <c r="K26" i="7"/>
  <c r="K29" i="7"/>
  <c r="K24" i="7"/>
  <c r="K25" i="7"/>
  <c r="K33" i="7"/>
  <c r="K16" i="7"/>
  <c r="K17" i="7"/>
  <c r="K70" i="7"/>
  <c r="K38" i="7"/>
  <c r="K41" i="7"/>
  <c r="K50" i="7"/>
  <c r="K85" i="7"/>
  <c r="K48" i="7"/>
  <c r="K56" i="7"/>
  <c r="K43" i="7"/>
  <c r="K53" i="7"/>
  <c r="K44" i="7"/>
  <c r="K45" i="7"/>
  <c r="K65" i="7"/>
  <c r="K68" i="7"/>
  <c r="I46" i="7"/>
  <c r="I54" i="7"/>
  <c r="I7" i="7"/>
  <c r="I47" i="7"/>
  <c r="I55" i="7"/>
  <c r="I34" i="7"/>
  <c r="I27" i="7"/>
  <c r="I14" i="7"/>
  <c r="I31" i="7"/>
  <c r="I19" i="7"/>
  <c r="I60" i="7"/>
  <c r="I72" i="7"/>
  <c r="I63" i="7"/>
  <c r="I76" i="7"/>
  <c r="I78" i="7"/>
  <c r="I80" i="7"/>
  <c r="I74" i="7"/>
  <c r="I36" i="7"/>
  <c r="I75" i="7"/>
  <c r="I35" i="7"/>
  <c r="I73" i="7"/>
  <c r="I77" i="7"/>
  <c r="I20" i="7"/>
  <c r="I28" i="7"/>
  <c r="I23" i="7"/>
  <c r="I40" i="7"/>
  <c r="I32" i="7"/>
  <c r="I15" i="7"/>
  <c r="I49" i="7"/>
  <c r="I6" i="7"/>
  <c r="I37" i="7"/>
  <c r="I69" i="7"/>
  <c r="I84" i="7"/>
  <c r="I58" i="7"/>
  <c r="I57" i="7"/>
  <c r="I64" i="7"/>
  <c r="I61" i="7"/>
  <c r="I81" i="7"/>
  <c r="I79" i="7"/>
  <c r="I8" i="7"/>
  <c r="I62" i="7"/>
  <c r="I9" i="7"/>
  <c r="I59" i="7"/>
  <c r="I10" i="7"/>
  <c r="I11" i="7"/>
  <c r="I82" i="7"/>
  <c r="I83" i="7"/>
  <c r="I30" i="7"/>
  <c r="I18" i="7"/>
  <c r="I51" i="7"/>
  <c r="I66" i="7"/>
  <c r="I71" i="7"/>
  <c r="I52" i="7"/>
  <c r="I39" i="7"/>
  <c r="I12" i="7"/>
  <c r="I13" i="7"/>
  <c r="I42" i="7"/>
  <c r="I21" i="7"/>
  <c r="I22" i="7"/>
  <c r="I26" i="7"/>
  <c r="I29" i="7"/>
  <c r="I24" i="7"/>
  <c r="I25" i="7"/>
  <c r="I33" i="7"/>
  <c r="I16" i="7"/>
  <c r="I17" i="7"/>
  <c r="I70" i="7"/>
  <c r="I38" i="7"/>
  <c r="I41" i="7"/>
  <c r="I50" i="7"/>
  <c r="I85" i="7"/>
  <c r="I48" i="7"/>
  <c r="I43" i="7"/>
  <c r="I53" i="7"/>
  <c r="I44" i="7"/>
  <c r="I45" i="7"/>
  <c r="I65" i="7"/>
  <c r="I68" i="7"/>
  <c r="K67" i="7"/>
  <c r="K86" i="7" s="1"/>
  <c r="I67" i="7"/>
  <c r="K93" i="6"/>
  <c r="I93" i="6"/>
  <c r="K92" i="6"/>
  <c r="I92" i="6"/>
  <c r="K91" i="6"/>
  <c r="I91" i="6"/>
  <c r="K90" i="6"/>
  <c r="I90" i="6"/>
  <c r="K89" i="6"/>
  <c r="I89" i="6"/>
  <c r="K6" i="6"/>
  <c r="K41" i="6"/>
  <c r="K48" i="6"/>
  <c r="K32" i="6"/>
  <c r="K26" i="6"/>
  <c r="K12" i="6"/>
  <c r="K28" i="6"/>
  <c r="K15" i="6"/>
  <c r="K57" i="6"/>
  <c r="K65" i="6"/>
  <c r="K60" i="6"/>
  <c r="K71" i="6"/>
  <c r="K76" i="6"/>
  <c r="K78" i="6"/>
  <c r="K72" i="6"/>
  <c r="K36" i="6"/>
  <c r="K73" i="6"/>
  <c r="K35" i="6"/>
  <c r="K70" i="6"/>
  <c r="K74" i="6"/>
  <c r="K22" i="6"/>
  <c r="K31" i="6"/>
  <c r="K25" i="6"/>
  <c r="K34" i="6"/>
  <c r="K19" i="6"/>
  <c r="K46" i="6"/>
  <c r="K53" i="6"/>
  <c r="K68" i="6"/>
  <c r="K39" i="6"/>
  <c r="K7" i="6"/>
  <c r="K54" i="6"/>
  <c r="K55" i="6"/>
  <c r="K59" i="6"/>
  <c r="K56" i="6"/>
  <c r="K77" i="6"/>
  <c r="K75" i="6"/>
  <c r="K8" i="6"/>
  <c r="K61" i="6"/>
  <c r="K9" i="6"/>
  <c r="K58" i="6"/>
  <c r="K10" i="6"/>
  <c r="K11" i="6"/>
  <c r="K79" i="6"/>
  <c r="K80" i="6"/>
  <c r="K29" i="6"/>
  <c r="K16" i="6"/>
  <c r="K63" i="6"/>
  <c r="K66" i="6"/>
  <c r="K37" i="6"/>
  <c r="K13" i="6"/>
  <c r="K14" i="6"/>
  <c r="K20" i="6"/>
  <c r="K21" i="6"/>
  <c r="K27" i="6"/>
  <c r="K30" i="6"/>
  <c r="K23" i="6"/>
  <c r="K24" i="6"/>
  <c r="K45" i="6"/>
  <c r="K33" i="6"/>
  <c r="K17" i="6"/>
  <c r="K18" i="6"/>
  <c r="K52" i="6"/>
  <c r="K67" i="6"/>
  <c r="K38" i="6"/>
  <c r="K81" i="6"/>
  <c r="K40" i="6"/>
  <c r="K47" i="6"/>
  <c r="K42" i="6"/>
  <c r="K49" i="6"/>
  <c r="K50" i="6"/>
  <c r="K43" i="6"/>
  <c r="K64" i="6"/>
  <c r="K69" i="6"/>
  <c r="K44" i="6"/>
  <c r="K51" i="6"/>
  <c r="I6" i="6"/>
  <c r="I41" i="6"/>
  <c r="I48" i="6"/>
  <c r="I32" i="6"/>
  <c r="I26" i="6"/>
  <c r="I12" i="6"/>
  <c r="I28" i="6"/>
  <c r="I15" i="6"/>
  <c r="I57" i="6"/>
  <c r="I65" i="6"/>
  <c r="I60" i="6"/>
  <c r="I71" i="6"/>
  <c r="I76" i="6"/>
  <c r="I78" i="6"/>
  <c r="I72" i="6"/>
  <c r="I36" i="6"/>
  <c r="I73" i="6"/>
  <c r="I35" i="6"/>
  <c r="I70" i="6"/>
  <c r="I74" i="6"/>
  <c r="I22" i="6"/>
  <c r="I31" i="6"/>
  <c r="I25" i="6"/>
  <c r="I34" i="6"/>
  <c r="I19" i="6"/>
  <c r="I46" i="6"/>
  <c r="I53" i="6"/>
  <c r="I68" i="6"/>
  <c r="I39" i="6"/>
  <c r="I7" i="6"/>
  <c r="I54" i="6"/>
  <c r="I55" i="6"/>
  <c r="I59" i="6"/>
  <c r="I56" i="6"/>
  <c r="I77" i="6"/>
  <c r="I75" i="6"/>
  <c r="I8" i="6"/>
  <c r="I61" i="6"/>
  <c r="I9" i="6"/>
  <c r="I58" i="6"/>
  <c r="I10" i="6"/>
  <c r="I11" i="6"/>
  <c r="I79" i="6"/>
  <c r="I80" i="6"/>
  <c r="I29" i="6"/>
  <c r="I16" i="6"/>
  <c r="I63" i="6"/>
  <c r="I66" i="6"/>
  <c r="I37" i="6"/>
  <c r="I13" i="6"/>
  <c r="I14" i="6"/>
  <c r="I20" i="6"/>
  <c r="I21" i="6"/>
  <c r="I27" i="6"/>
  <c r="I30" i="6"/>
  <c r="I23" i="6"/>
  <c r="I24" i="6"/>
  <c r="I45" i="6"/>
  <c r="I33" i="6"/>
  <c r="I17" i="6"/>
  <c r="I18" i="6"/>
  <c r="I52" i="6"/>
  <c r="I67" i="6"/>
  <c r="I38" i="6"/>
  <c r="I81" i="6"/>
  <c r="I40" i="6"/>
  <c r="I47" i="6"/>
  <c r="I42" i="6"/>
  <c r="I49" i="6"/>
  <c r="I50" i="6"/>
  <c r="I43" i="6"/>
  <c r="I64" i="6"/>
  <c r="I69" i="6"/>
  <c r="I44" i="6"/>
  <c r="I51" i="6"/>
  <c r="K62" i="6"/>
  <c r="I62" i="6"/>
  <c r="K107" i="5"/>
  <c r="I107" i="5"/>
  <c r="K106" i="5"/>
  <c r="I106" i="5"/>
  <c r="K104" i="5"/>
  <c r="I104" i="5"/>
  <c r="K103" i="5"/>
  <c r="I103" i="5"/>
  <c r="J86" i="5"/>
  <c r="K48" i="5"/>
  <c r="K39" i="5"/>
  <c r="K85" i="5"/>
  <c r="K47" i="5"/>
  <c r="K38" i="5"/>
  <c r="K57" i="5"/>
  <c r="K65" i="5"/>
  <c r="K79" i="5"/>
  <c r="K61" i="5"/>
  <c r="K76" i="5"/>
  <c r="K30" i="5"/>
  <c r="K23" i="5"/>
  <c r="K28" i="5"/>
  <c r="K15" i="5"/>
  <c r="K10" i="5"/>
  <c r="K8" i="5"/>
  <c r="K16" i="5"/>
  <c r="K55" i="5"/>
  <c r="K17" i="5"/>
  <c r="K56" i="5"/>
  <c r="K18" i="5"/>
  <c r="K14" i="5"/>
  <c r="K71" i="5"/>
  <c r="K62" i="5"/>
  <c r="K68" i="5"/>
  <c r="K50" i="5"/>
  <c r="K59" i="5"/>
  <c r="K75" i="5"/>
  <c r="K41" i="5"/>
  <c r="K84" i="5"/>
  <c r="K22" i="5"/>
  <c r="K54" i="5"/>
  <c r="K13" i="5"/>
  <c r="K33" i="5"/>
  <c r="K34" i="5"/>
  <c r="K29" i="5"/>
  <c r="K31" i="5"/>
  <c r="K9" i="5"/>
  <c r="K11" i="5"/>
  <c r="K83" i="5"/>
  <c r="K27" i="5"/>
  <c r="K82" i="5"/>
  <c r="K32" i="5"/>
  <c r="K81" i="5"/>
  <c r="K80" i="5"/>
  <c r="K6" i="5"/>
  <c r="K7" i="5"/>
  <c r="K60" i="5"/>
  <c r="K72" i="5"/>
  <c r="K35" i="5"/>
  <c r="K24" i="5"/>
  <c r="K19" i="5"/>
  <c r="K36" i="5"/>
  <c r="K52" i="5"/>
  <c r="K77" i="5"/>
  <c r="K78" i="5"/>
  <c r="K49" i="5"/>
  <c r="K69" i="5"/>
  <c r="K70" i="5"/>
  <c r="K64" i="5"/>
  <c r="K63" i="5"/>
  <c r="K66" i="5"/>
  <c r="K67" i="5"/>
  <c r="K58" i="5"/>
  <c r="K73" i="5"/>
  <c r="K74" i="5"/>
  <c r="K21" i="5"/>
  <c r="K53" i="5"/>
  <c r="K43" i="5"/>
  <c r="K40" i="5"/>
  <c r="K12" i="5"/>
  <c r="K51" i="5"/>
  <c r="K42" i="5"/>
  <c r="K44" i="5"/>
  <c r="K37" i="5"/>
  <c r="K45" i="5"/>
  <c r="K46" i="5"/>
  <c r="K25" i="5"/>
  <c r="K20" i="5"/>
  <c r="I48" i="5"/>
  <c r="I39" i="5"/>
  <c r="I85" i="5"/>
  <c r="I47" i="5"/>
  <c r="I38" i="5"/>
  <c r="I57" i="5"/>
  <c r="I65" i="5"/>
  <c r="I79" i="5"/>
  <c r="I61" i="5"/>
  <c r="I76" i="5"/>
  <c r="I30" i="5"/>
  <c r="I23" i="5"/>
  <c r="I28" i="5"/>
  <c r="I15" i="5"/>
  <c r="I10" i="5"/>
  <c r="I8" i="5"/>
  <c r="I16" i="5"/>
  <c r="I55" i="5"/>
  <c r="I17" i="5"/>
  <c r="I56" i="5"/>
  <c r="I18" i="5"/>
  <c r="I14" i="5"/>
  <c r="I71" i="5"/>
  <c r="I62" i="5"/>
  <c r="I68" i="5"/>
  <c r="I50" i="5"/>
  <c r="I59" i="5"/>
  <c r="I75" i="5"/>
  <c r="I41" i="5"/>
  <c r="I84" i="5"/>
  <c r="I22" i="5"/>
  <c r="I54" i="5"/>
  <c r="I13" i="5"/>
  <c r="I33" i="5"/>
  <c r="I34" i="5"/>
  <c r="I29" i="5"/>
  <c r="I31" i="5"/>
  <c r="I9" i="5"/>
  <c r="I11" i="5"/>
  <c r="I83" i="5"/>
  <c r="I27" i="5"/>
  <c r="I82" i="5"/>
  <c r="I32" i="5"/>
  <c r="I81" i="5"/>
  <c r="I80" i="5"/>
  <c r="I6" i="5"/>
  <c r="I7" i="5"/>
  <c r="I60" i="5"/>
  <c r="I72" i="5"/>
  <c r="I35" i="5"/>
  <c r="I24" i="5"/>
  <c r="I19" i="5"/>
  <c r="I36" i="5"/>
  <c r="I52" i="5"/>
  <c r="I77" i="5"/>
  <c r="I78" i="5"/>
  <c r="I49" i="5"/>
  <c r="I69" i="5"/>
  <c r="I70" i="5"/>
  <c r="I64" i="5"/>
  <c r="I63" i="5"/>
  <c r="I66" i="5"/>
  <c r="I67" i="5"/>
  <c r="I58" i="5"/>
  <c r="I73" i="5"/>
  <c r="I74" i="5"/>
  <c r="I21" i="5"/>
  <c r="I53" i="5"/>
  <c r="I43" i="5"/>
  <c r="I40" i="5"/>
  <c r="I12" i="5"/>
  <c r="I51" i="5"/>
  <c r="I42" i="5"/>
  <c r="I44" i="5"/>
  <c r="I37" i="5"/>
  <c r="I45" i="5"/>
  <c r="I46" i="5"/>
  <c r="I25" i="5"/>
  <c r="I20" i="5"/>
  <c r="K26" i="5"/>
  <c r="I26" i="5"/>
  <c r="J49" i="10"/>
  <c r="K36" i="10"/>
  <c r="I36" i="10"/>
  <c r="K22" i="10"/>
  <c r="I22" i="10"/>
  <c r="K25" i="10"/>
  <c r="I25" i="10"/>
  <c r="K48" i="10"/>
  <c r="I48" i="10"/>
  <c r="K16" i="10"/>
  <c r="I16" i="10"/>
  <c r="K13" i="10"/>
  <c r="I13" i="10"/>
  <c r="K12" i="10"/>
  <c r="I12" i="10"/>
  <c r="K37" i="10"/>
  <c r="I37" i="10"/>
  <c r="K47" i="10"/>
  <c r="I47" i="10"/>
  <c r="K46" i="10"/>
  <c r="I46" i="10"/>
  <c r="K11" i="10"/>
  <c r="I11" i="10"/>
  <c r="K10" i="10"/>
  <c r="I10" i="10"/>
  <c r="K31" i="10"/>
  <c r="I31" i="10"/>
  <c r="K9" i="10"/>
  <c r="I9" i="10"/>
  <c r="K33" i="10"/>
  <c r="I33" i="10"/>
  <c r="K8" i="10"/>
  <c r="I8" i="10"/>
  <c r="K42" i="10"/>
  <c r="I42" i="10"/>
  <c r="K44" i="10"/>
  <c r="I44" i="10"/>
  <c r="K29" i="10"/>
  <c r="I29" i="10"/>
  <c r="K32" i="10"/>
  <c r="I32" i="10"/>
  <c r="K27" i="10"/>
  <c r="I27" i="10"/>
  <c r="K28" i="10"/>
  <c r="I28" i="10"/>
  <c r="K6" i="10"/>
  <c r="I6" i="10"/>
  <c r="K23" i="10"/>
  <c r="I23" i="10"/>
  <c r="K26" i="10"/>
  <c r="I26" i="10"/>
  <c r="K38" i="10"/>
  <c r="I38" i="10"/>
  <c r="K19" i="10"/>
  <c r="I19" i="10"/>
  <c r="K41" i="10"/>
  <c r="I41" i="10"/>
  <c r="K20" i="10"/>
  <c r="I20" i="10"/>
  <c r="K18" i="10"/>
  <c r="I18" i="10"/>
  <c r="K15" i="10"/>
  <c r="I15" i="10"/>
  <c r="K39" i="10"/>
  <c r="I39" i="10"/>
  <c r="K45" i="10"/>
  <c r="I45" i="10"/>
  <c r="K43" i="10"/>
  <c r="I43" i="10"/>
  <c r="K40" i="10"/>
  <c r="I40" i="10"/>
  <c r="K34" i="10"/>
  <c r="I34" i="10"/>
  <c r="K30" i="10"/>
  <c r="I30" i="10"/>
  <c r="K14" i="10"/>
  <c r="I14" i="10"/>
  <c r="K17" i="10"/>
  <c r="I17" i="10"/>
  <c r="K21" i="10"/>
  <c r="I21" i="10"/>
  <c r="K24" i="10"/>
  <c r="I24" i="10"/>
  <c r="K7" i="10"/>
  <c r="K35" i="10"/>
  <c r="I35" i="10"/>
  <c r="F52" i="21" l="1"/>
  <c r="H95" i="20"/>
  <c r="H96" i="20" s="1"/>
  <c r="K86" i="17"/>
  <c r="J88" i="17"/>
  <c r="J89" i="17" s="1"/>
  <c r="I86" i="15"/>
  <c r="I87" i="15" s="1"/>
  <c r="F90" i="15"/>
  <c r="K86" i="15"/>
  <c r="K87" i="15" s="1"/>
  <c r="F52" i="10"/>
  <c r="J83" i="4"/>
  <c r="I85" i="4" s="1"/>
  <c r="I86" i="4" s="1"/>
  <c r="G30" i="11"/>
  <c r="Y20" i="2"/>
  <c r="AE20" i="2" s="1"/>
  <c r="AG20" i="2" s="1"/>
  <c r="AG22" i="2"/>
  <c r="AG21" i="2"/>
  <c r="L40" i="2"/>
  <c r="O40" i="2" s="1"/>
  <c r="L38" i="2"/>
  <c r="O38" i="2" s="1"/>
  <c r="N37" i="2"/>
  <c r="L37" i="2"/>
  <c r="O37" i="2" s="1"/>
  <c r="K39" i="2"/>
  <c r="N39" i="2" s="1"/>
  <c r="M39" i="2"/>
  <c r="AC9" i="2"/>
  <c r="AF9" i="2" s="1"/>
  <c r="AC8" i="2"/>
  <c r="AF8" i="2" s="1"/>
  <c r="AC12" i="2"/>
  <c r="AF12" i="2" s="1"/>
  <c r="AC11" i="2"/>
  <c r="AF11" i="2" s="1"/>
  <c r="AC10" i="2"/>
  <c r="AF10" i="2" s="1"/>
  <c r="AC7" i="2"/>
  <c r="AF7" i="2" s="1"/>
  <c r="AC13" i="2"/>
  <c r="AF13" i="2" s="1"/>
  <c r="N114" i="5"/>
  <c r="AG23" i="2"/>
  <c r="I93" i="9"/>
  <c r="K86" i="5"/>
  <c r="I82" i="6"/>
  <c r="K49" i="10"/>
  <c r="I49" i="10"/>
  <c r="J52" i="10" s="1"/>
  <c r="J53" i="10" s="1"/>
  <c r="G93" i="9"/>
  <c r="K86" i="8"/>
  <c r="I86" i="8"/>
  <c r="I86" i="7"/>
  <c r="J88" i="7" s="1"/>
  <c r="J89" i="7" s="1"/>
  <c r="K82" i="6"/>
  <c r="I86" i="5"/>
  <c r="J89" i="15" l="1"/>
  <c r="H95" i="9"/>
  <c r="H96" i="9" s="1"/>
  <c r="J88" i="5"/>
  <c r="J89" i="5" s="1"/>
  <c r="AH20" i="2"/>
  <c r="AJ20" i="2" s="1"/>
  <c r="L39" i="2"/>
  <c r="O39" i="2" s="1"/>
  <c r="J88" i="8"/>
  <c r="J89" i="8" s="1"/>
  <c r="J84" i="6"/>
  <c r="J85" i="6" s="1"/>
</calcChain>
</file>

<file path=xl/sharedStrings.xml><?xml version="1.0" encoding="utf-8"?>
<sst xmlns="http://schemas.openxmlformats.org/spreadsheetml/2006/main" count="8281" uniqueCount="370">
  <si>
    <t>Hiilikädenjälki [CO2e/kg]</t>
  </si>
  <si>
    <t>Hiilijalanjälki [CO2e/kg]</t>
  </si>
  <si>
    <t>Materiaali</t>
  </si>
  <si>
    <t>Alumiini, 75% scrap</t>
  </si>
  <si>
    <t>Betoni</t>
  </si>
  <si>
    <t>Betoni, rakenteellinen</t>
  </si>
  <si>
    <t>Betoniharkko-</t>
  </si>
  <si>
    <t>Bitumi, katto</t>
  </si>
  <si>
    <t>Eriste - kuitu, kova</t>
  </si>
  <si>
    <t>Eriste - kuitu, pehmeä</t>
  </si>
  <si>
    <t>Eriste - mineraali, kova</t>
  </si>
  <si>
    <t>Eriste - mineraali, pehmeä</t>
  </si>
  <si>
    <t>Eriste - muovi, kova</t>
  </si>
  <si>
    <t>Kalkkikivirouhe</t>
  </si>
  <si>
    <t>Kalvo - höyrynsulku</t>
  </si>
  <si>
    <t>Kipsilevy</t>
  </si>
  <si>
    <t>Kuitulevy (OSB)</t>
  </si>
  <si>
    <t>Kupari - katto</t>
  </si>
  <si>
    <t>Muovi - kiinteä</t>
  </si>
  <si>
    <t>Muurausharkko -</t>
  </si>
  <si>
    <t>Puu - CLT</t>
  </si>
  <si>
    <t>Muunnoskertoimet [kg/m3]</t>
  </si>
  <si>
    <t>Puu - katto</t>
  </si>
  <si>
    <t>Puu - lattia</t>
  </si>
  <si>
    <t>Puu - LVL</t>
  </si>
  <si>
    <t>Puu - rakenteellinen</t>
  </si>
  <si>
    <t>Puu - ulkoverhous</t>
  </si>
  <si>
    <t>Rappaus - kalkkihiekkalaasti</t>
  </si>
  <si>
    <t>Sinkki</t>
  </si>
  <si>
    <t>Teräs (raudoitus)</t>
  </si>
  <si>
    <t>Teräsbetoni - esivalmistettu</t>
  </si>
  <si>
    <t>Teräsbetoni - ontelolaatta</t>
  </si>
  <si>
    <t>Teräsbetoni - rakenteellinen</t>
  </si>
  <si>
    <t>Tiili -</t>
  </si>
  <si>
    <t>Vaneri</t>
  </si>
  <si>
    <t>Hiili</t>
  </si>
  <si>
    <t>ID</t>
  </si>
  <si>
    <t>Rakennetyyppi</t>
  </si>
  <si>
    <t>Nimi</t>
  </si>
  <si>
    <t>Rakennekerroksen paksuus [mm]</t>
  </si>
  <si>
    <t>Rakennekerros/-osan tilavuus [m3]</t>
  </si>
  <si>
    <t>Massa [kg]</t>
  </si>
  <si>
    <t>Muunnoskerroin [kg/m3]</t>
  </si>
  <si>
    <t>Hiilijalanjälki [CO2e /kg]</t>
  </si>
  <si>
    <t>kgCO2</t>
  </si>
  <si>
    <t>Hiilikädenjälki [CO2e /kg]</t>
  </si>
  <si>
    <t>Lasku</t>
  </si>
  <si>
    <t>Rakenneosan tyyppi</t>
  </si>
  <si>
    <t>Column1</t>
  </si>
  <si>
    <t>Column2</t>
  </si>
  <si>
    <t>ER-04</t>
  </si>
  <si>
    <t>USX Ulkoseinä, betoni sandwich</t>
  </si>
  <si>
    <t>Eriste - mineraali kova</t>
  </si>
  <si>
    <t>&lt;Määrittelemätön&gt;</t>
  </si>
  <si>
    <t>Runko</t>
  </si>
  <si>
    <t>RA-04</t>
  </si>
  <si>
    <t>Betoni - rakenteellinen</t>
  </si>
  <si>
    <t>Pintarakenne</t>
  </si>
  <si>
    <t>RA-06</t>
  </si>
  <si>
    <t>ST-01</t>
  </si>
  <si>
    <t>US9 Päätykolmio</t>
  </si>
  <si>
    <t>Ilmarako - runko</t>
  </si>
  <si>
    <t>VS6 Huoneiston ja porrashuoneen välinen seinä</t>
  </si>
  <si>
    <t>VS2 Huoneiston ja käytävän välinen seinä</t>
  </si>
  <si>
    <t>UT-06</t>
  </si>
  <si>
    <t>VP2 Huoneistovälipohja, märkätila/ keittiö</t>
  </si>
  <si>
    <t>Ilmarako</t>
  </si>
  <si>
    <t>US1 Ulkoseinä, puujulkisivu, asunto</t>
  </si>
  <si>
    <t>VP1 Huoneistovälipohja</t>
  </si>
  <si>
    <t>VP5 Välipohja, käytävä</t>
  </si>
  <si>
    <t>ER-02</t>
  </si>
  <si>
    <t>Eriste - kuitu kova</t>
  </si>
  <si>
    <t>ER-06</t>
  </si>
  <si>
    <t>AP1 VSSMaanvarainen</t>
  </si>
  <si>
    <t>Eriste - muovi kova</t>
  </si>
  <si>
    <t>ER-03</t>
  </si>
  <si>
    <t>Eriste - mineraali pehmeä</t>
  </si>
  <si>
    <t>US_K1</t>
  </si>
  <si>
    <t>UV-05</t>
  </si>
  <si>
    <t>ST-02</t>
  </si>
  <si>
    <t>VS5 Hissikuilu</t>
  </si>
  <si>
    <t>SV-04</t>
  </si>
  <si>
    <t>---</t>
  </si>
  <si>
    <t>Ei</t>
  </si>
  <si>
    <t>AP1 Maanvarainen</t>
  </si>
  <si>
    <t>VS3b Huoneiston ja käytävän välinen seinä, hormi huoneisto</t>
  </si>
  <si>
    <t>ST-04</t>
  </si>
  <si>
    <t>Kuitulevy</t>
  </si>
  <si>
    <t>USX VSS Ulkoseinä, betoni sandwich</t>
  </si>
  <si>
    <t>EV-08</t>
  </si>
  <si>
    <t>KA-01</t>
  </si>
  <si>
    <t>VK Vesikate</t>
  </si>
  <si>
    <t>YP1 Tilaelementit yläpohja</t>
  </si>
  <si>
    <t>VS3a Huoneiston ja käytävän välinen seinä, hormi käytävä</t>
  </si>
  <si>
    <t>KA-05</t>
  </si>
  <si>
    <t>EV-02</t>
  </si>
  <si>
    <t>VS_Kivijalka VSS</t>
  </si>
  <si>
    <t>VS7 Kevyt väliseinä</t>
  </si>
  <si>
    <t>RA-05</t>
  </si>
  <si>
    <t>VSX_k1 Huoneistojen välinen seinä</t>
  </si>
  <si>
    <t>Betoniharkko - rakenteellinen</t>
  </si>
  <si>
    <t>UT-01</t>
  </si>
  <si>
    <t>VS1 Huoneistojen välinen seinä</t>
  </si>
  <si>
    <t>VSS-seinä 300 mm</t>
  </si>
  <si>
    <t>VS_Kivijalka</t>
  </si>
  <si>
    <t>VSS</t>
  </si>
  <si>
    <t>US_Kivijalka</t>
  </si>
  <si>
    <t>OL27</t>
  </si>
  <si>
    <t>VSX Huoneistojen välinen seinä</t>
  </si>
  <si>
    <t/>
  </si>
  <si>
    <t>tCO2</t>
  </si>
  <si>
    <t>Rakennekerroksen paksuus</t>
  </si>
  <si>
    <t>Rakennekerros/-osan tilavuus</t>
  </si>
  <si>
    <t>Massa</t>
  </si>
  <si>
    <t>Muunnoskerroin</t>
  </si>
  <si>
    <t>Hiilijalanjälki</t>
  </si>
  <si>
    <t>Hiilikädenjälki</t>
  </si>
  <si>
    <t>kgCO22</t>
  </si>
  <si>
    <t>VP2 CLT200 Huoneistovälipohja, märkätila/ keittiö</t>
  </si>
  <si>
    <t>VP1 CLT200 Huoneistovälipohja</t>
  </si>
  <si>
    <t>VP5 CLT200 Välipohja, käytävä</t>
  </si>
  <si>
    <t>YM-03</t>
  </si>
  <si>
    <t>US1 CLT120</t>
  </si>
  <si>
    <t>YP1 CLT200 Tilaelementit yläpohja</t>
  </si>
  <si>
    <t>VS1 CLT100</t>
  </si>
  <si>
    <t>VS2 CLT100 Huoneiston ja käytävän välinen seinä</t>
  </si>
  <si>
    <t>VS6 CLT100Huoneiston ja porrashuoneen välinen seinä</t>
  </si>
  <si>
    <t>US4 Ulkoseinä, CLT200</t>
  </si>
  <si>
    <t>VS5 CLT100Hissikuilu</t>
  </si>
  <si>
    <t>VS3b CLT100Huoneiston ja käytävän välinen seinä, hormi huoneisto</t>
  </si>
  <si>
    <t>US1 CLT300</t>
  </si>
  <si>
    <t>US1 CLT400</t>
  </si>
  <si>
    <t>hiilijalanjälki</t>
  </si>
  <si>
    <t>hiilikädenjälki</t>
  </si>
  <si>
    <t>muunnoskerrin [massa]</t>
  </si>
  <si>
    <t>ER-01</t>
  </si>
  <si>
    <t>YP3 Tilaelementit</t>
  </si>
  <si>
    <t>Eriste - kuitu pehmeä</t>
  </si>
  <si>
    <t>US_Kolmio ranka</t>
  </si>
  <si>
    <t>VS1 Huoneistojen välinen rankaseinä</t>
  </si>
  <si>
    <t>US3 Ulkoseinä, rankarakenne</t>
  </si>
  <si>
    <t>VS2 Huoneiston ja käytävän välinen seinä ranka</t>
  </si>
  <si>
    <t>VS3b Huoneiston ja käytävän välinen seinä, hormi huoneisto ranka</t>
  </si>
  <si>
    <t>AP1 VSSMaanvarainen kopio</t>
  </si>
  <si>
    <t>ER-08</t>
  </si>
  <si>
    <t>EV-01</t>
  </si>
  <si>
    <t>VP Ontelo</t>
  </si>
  <si>
    <t>KA-03</t>
  </si>
  <si>
    <t>Kalvo - vedeneristys</t>
  </si>
  <si>
    <t>ST-05</t>
  </si>
  <si>
    <t>VP VSS Ylä</t>
  </si>
  <si>
    <t>Betonisandwich Hiili</t>
  </si>
  <si>
    <t>Hinta</t>
  </si>
  <si>
    <t>YP1X</t>
  </si>
  <si>
    <t>VP1X</t>
  </si>
  <si>
    <t>VP5X</t>
  </si>
  <si>
    <t>VS5X</t>
  </si>
  <si>
    <t>VS1X</t>
  </si>
  <si>
    <t>Ulkoseinä:</t>
  </si>
  <si>
    <t>Rankarakenne</t>
  </si>
  <si>
    <t>Jalka</t>
  </si>
  <si>
    <t>Käsi</t>
  </si>
  <si>
    <t xml:space="preserve">Jalka </t>
  </si>
  <si>
    <t xml:space="preserve">US1 </t>
  </si>
  <si>
    <t>Puuverhous, mm</t>
  </si>
  <si>
    <t>Lattiapalkki</t>
  </si>
  <si>
    <t>Antura</t>
  </si>
  <si>
    <t>Höyrynsulku</t>
  </si>
  <si>
    <t>Kipsilevy,  mm</t>
  </si>
  <si>
    <t>Eristepaksuus, mm</t>
  </si>
  <si>
    <t>US2</t>
  </si>
  <si>
    <t>US3</t>
  </si>
  <si>
    <t>CLT80</t>
  </si>
  <si>
    <t>CLT120</t>
  </si>
  <si>
    <t>CLT200</t>
  </si>
  <si>
    <t>CLT300</t>
  </si>
  <si>
    <t>CLT400</t>
  </si>
  <si>
    <t>US4</t>
  </si>
  <si>
    <t>US5</t>
  </si>
  <si>
    <t>Ranka</t>
  </si>
  <si>
    <t>TB</t>
  </si>
  <si>
    <t>US6</t>
  </si>
  <si>
    <t>US7</t>
  </si>
  <si>
    <t>tco2</t>
  </si>
  <si>
    <t>VP1</t>
  </si>
  <si>
    <t>VP2</t>
  </si>
  <si>
    <t>VP3</t>
  </si>
  <si>
    <t>VP4</t>
  </si>
  <si>
    <t>CLT</t>
  </si>
  <si>
    <t>Eriste</t>
  </si>
  <si>
    <t>Ontelolaatta</t>
  </si>
  <si>
    <t>eriste</t>
  </si>
  <si>
    <t>kuitulevy</t>
  </si>
  <si>
    <t>Betoni,mm</t>
  </si>
  <si>
    <t>Eriste:</t>
  </si>
  <si>
    <t>CLT:</t>
  </si>
  <si>
    <t>Kipsilevy:</t>
  </si>
  <si>
    <t>Kalkkikivirouhe:</t>
  </si>
  <si>
    <t>Kipsi:</t>
  </si>
  <si>
    <t>Välipohja:</t>
  </si>
  <si>
    <t>Yläpohja:</t>
  </si>
  <si>
    <t>LVL</t>
  </si>
  <si>
    <t>VP</t>
  </si>
  <si>
    <t>Katto:</t>
  </si>
  <si>
    <t>Kto1</t>
  </si>
  <si>
    <t>Kto2</t>
  </si>
  <si>
    <t>Kto3</t>
  </si>
  <si>
    <t>Pelti</t>
  </si>
  <si>
    <t>Bitumi</t>
  </si>
  <si>
    <t>Kupari</t>
  </si>
  <si>
    <t>Tiili</t>
  </si>
  <si>
    <t>Kto4</t>
  </si>
  <si>
    <t>m3</t>
  </si>
  <si>
    <t>Pinta-ala, m2</t>
  </si>
  <si>
    <t>Bitumikatto. 2ply</t>
  </si>
  <si>
    <t>kgm2</t>
  </si>
  <si>
    <t>kgm3</t>
  </si>
  <si>
    <t>concreet tile</t>
  </si>
  <si>
    <t>HS</t>
  </si>
  <si>
    <t>Hiili, kg/CO2e</t>
  </si>
  <si>
    <t>Käsi, kg/CO2e</t>
  </si>
  <si>
    <t>-&gt;</t>
  </si>
  <si>
    <t>kg</t>
  </si>
  <si>
    <t>puu</t>
  </si>
  <si>
    <t>Puuosa</t>
  </si>
  <si>
    <t>25x100 k300</t>
  </si>
  <si>
    <t>48x48 k300</t>
  </si>
  <si>
    <t>neliöpaino 39 kg</t>
  </si>
  <si>
    <t>Väliseinä:</t>
  </si>
  <si>
    <t>VS1</t>
  </si>
  <si>
    <t>VS2</t>
  </si>
  <si>
    <t>VS3</t>
  </si>
  <si>
    <t>VS4</t>
  </si>
  <si>
    <t>Betoni:</t>
  </si>
  <si>
    <t>CLT100</t>
  </si>
  <si>
    <t>Pilari,kpl</t>
  </si>
  <si>
    <t>pilari,m3</t>
  </si>
  <si>
    <t>m3/kerros</t>
  </si>
  <si>
    <t>Väliseinät:</t>
  </si>
  <si>
    <t>Pallkki,m</t>
  </si>
  <si>
    <t>totaali:</t>
  </si>
  <si>
    <t>Kerros:</t>
  </si>
  <si>
    <t>5krs:</t>
  </si>
  <si>
    <t>Pilari, kpl</t>
  </si>
  <si>
    <t>m</t>
  </si>
  <si>
    <t>m3/5krs</t>
  </si>
  <si>
    <t>Palkit</t>
  </si>
  <si>
    <t>Totaali:</t>
  </si>
  <si>
    <t>5krs</t>
  </si>
  <si>
    <t>Hiili:</t>
  </si>
  <si>
    <t>Kokonais</t>
  </si>
  <si>
    <t>+/-</t>
  </si>
  <si>
    <t>Kellari:</t>
  </si>
  <si>
    <t>Alapohja:</t>
  </si>
  <si>
    <t>AP:</t>
  </si>
  <si>
    <t>Eriste.</t>
  </si>
  <si>
    <t>Kivijalka:</t>
  </si>
  <si>
    <t>VSS:</t>
  </si>
  <si>
    <t>Kyllä</t>
  </si>
  <si>
    <t>EI</t>
  </si>
  <si>
    <t>CLT m3</t>
  </si>
  <si>
    <t>kgco2</t>
  </si>
  <si>
    <t>Rakennekerroksen tilavuus</t>
  </si>
  <si>
    <t>Tyyppi</t>
  </si>
  <si>
    <t>Tilavuus</t>
  </si>
  <si>
    <t>Paksuus</t>
  </si>
  <si>
    <t>CLT120 Hiili</t>
  </si>
  <si>
    <t>Full CLT200 Hiili</t>
  </si>
  <si>
    <t>CLT300 Hiili</t>
  </si>
  <si>
    <t>Hiilkädenjälki</t>
  </si>
  <si>
    <t>CLT400 Hiili</t>
  </si>
  <si>
    <t>Valikot:</t>
  </si>
  <si>
    <t>-</t>
  </si>
  <si>
    <t>Rakenne</t>
  </si>
  <si>
    <r>
      <t>Kokonaishiilitase
 [tCO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]</t>
    </r>
  </si>
  <si>
    <r>
      <t>Hiilijalanjälki
[tCO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]</t>
    </r>
  </si>
  <si>
    <r>
      <t>Hiilikädenjälki
[tCO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]</t>
    </r>
  </si>
  <si>
    <t>CLT/Ranka, m3</t>
  </si>
  <si>
    <r>
      <t>CLT/Ranka
 [m</t>
    </r>
    <r>
      <rPr>
        <vertAlign val="superscript"/>
        <sz val="10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]</t>
    </r>
  </si>
  <si>
    <r>
      <t>CLT/Ranka Hiilijalanjälki
 [tCO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]</t>
    </r>
  </si>
  <si>
    <r>
      <t>CLT/Ranka Hiilikädenjälki
 [tCO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]</t>
    </r>
  </si>
  <si>
    <t>CLT/Ranka</t>
  </si>
  <si>
    <t>25x100</t>
  </si>
  <si>
    <t>25x100 k200</t>
  </si>
  <si>
    <r>
      <t>Kattomateriaali
Hiilijalanjälki
[tCO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]</t>
    </r>
  </si>
  <si>
    <r>
      <t>Kattomateriaali
Hiilikädenjälki
[tCO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]</t>
    </r>
  </si>
  <si>
    <t>CLT,m3</t>
  </si>
  <si>
    <t>'-</t>
  </si>
  <si>
    <t>-'</t>
  </si>
  <si>
    <r>
      <t xml:space="preserve">SUMMA </t>
    </r>
    <r>
      <rPr>
        <sz val="11"/>
        <color theme="1"/>
        <rFont val="Calibri"/>
        <family val="2"/>
      </rPr>
      <t>Σ</t>
    </r>
  </si>
  <si>
    <t>Julkisivuverhous 28mm; ilmarako 46mm;Eristys 50mm;Eristys/LVL-Ranka 200mm;Vaneri 12mm;Kipsilevy 25mm</t>
  </si>
  <si>
    <t>Betoni 70mm;Eristys 220mm;Betoni 150mm</t>
  </si>
  <si>
    <t>Julkisivuverhous 28mm; ilmarako 32mm;Eristys 220mm;CLT 80mm;Kipsilevy 15mm</t>
  </si>
  <si>
    <t>Julkisivuverhous 28mm; ilmarako 32mm;Eristys 220mm;CLT 120mm;Kipsilevy 15mm</t>
  </si>
  <si>
    <t>Julkisivuverhous 28mm; ilmarako 32mm;Eristys 175mm;CLT 220mm;Kipsilevy 15mm</t>
  </si>
  <si>
    <t>Julkisivuverhous 28mm; ilmarako 32mm;Eristys 150mm;CLT 300mm;Kipsilevy 15mm</t>
  </si>
  <si>
    <t>Julkisivuverhous 28mm; ilmarako 32mm;Eristys 125mm;CLT 400mm;Kipsilevy 15mm</t>
  </si>
  <si>
    <t>Betoni 40mm;Askeläänieristys 30mm;Kalkkikivirouhe 50mm;CLT 200mm;Ilmarako 73mm;Kipsilevy 15mm</t>
  </si>
  <si>
    <t>Betoni 40mm;Askeläänieristys 30mm;OSB-levy 18mm;LVL-Palkki 260mm k300/Eriste 100mm;Ilmarako 55mm;CLT 80mm</t>
  </si>
  <si>
    <t>Betoni 40mm;Askeläänieristys 30mm;OSB-levy 18mm;LVL-Palkki 260mm k300/Eriste 100mm;Ilmarako 23mm;Kipsilevy 15mm</t>
  </si>
  <si>
    <t>Betoni 40mm;Askeläänieristys 30mm;Betoni 50mm;Ontelolaatta 270mm</t>
  </si>
  <si>
    <t>Kipsilevy 15mm;CLT 80mm;Eriste 450mm</t>
  </si>
  <si>
    <t>Kipsilevy 15mm;CLT 200mm;Eriste 400mm</t>
  </si>
  <si>
    <t>Kipsilevy 15mm;VLV-Palkki 200mm k300/Eriste 450mm</t>
  </si>
  <si>
    <t>Ontelolaatta 270mm;Betoni 50mm;Eriste 450mm</t>
  </si>
  <si>
    <t>Peltikate 1mm;Harvalaudoitus k300</t>
  </si>
  <si>
    <t>Bitumikate 2ply;Ponttilaudoitus</t>
  </si>
  <si>
    <t>Kuparikate 1mm;Harvalaudoitus k200</t>
  </si>
  <si>
    <t>Betonitiilikate;48mmx48mm k300</t>
  </si>
  <si>
    <t>Kipsilevy 25mm;LVL-Ranka 100mm/Eriste 100mm;Ilmarako 30mm;LVL-Ranka 100mm/Eriste 100mm;Kipsilevy 25mm</t>
  </si>
  <si>
    <t>Kipsilevy 15mm;CLT 80mm;Eriste 50mm/30mm;CLT 80mm;Kipsilevy 15mm</t>
  </si>
  <si>
    <t>Kipsilevy 15mm;CLT 100mm;Eriste 50mm/30mm;CLT 100mm;Kipsilevy 15mm</t>
  </si>
  <si>
    <t>Betoni 200mm</t>
  </si>
  <si>
    <t>Betoni 100mm;Eriste 140mm;Betoni 200mm</t>
  </si>
  <si>
    <t>Betoni 100mm;Eriste 140mm;Betoni 300mm</t>
  </si>
  <si>
    <t>Betoni 100mm/150mm;Eriste 300mm</t>
  </si>
  <si>
    <t>Betoni 540mm/740mm X 300mm</t>
  </si>
  <si>
    <t>5krt ontelolaattaa on n. 1940m2</t>
  </si>
  <si>
    <t>Jalka-&gt;</t>
  </si>
  <si>
    <t xml:space="preserve">1krs ontelolaattaa on n. </t>
  </si>
  <si>
    <t>Betonivalu</t>
  </si>
  <si>
    <t>YP1</t>
  </si>
  <si>
    <t>YP2</t>
  </si>
  <si>
    <t>YP3</t>
  </si>
  <si>
    <t>YP4</t>
  </si>
  <si>
    <t>Kellari</t>
  </si>
  <si>
    <t>Alapohja</t>
  </si>
  <si>
    <t>Kivijalka</t>
  </si>
  <si>
    <t>Maanalaiset rakenteet</t>
  </si>
  <si>
    <t>https://puuinfo.fi/suunnittelu/mitoitustyokalu/</t>
  </si>
  <si>
    <t>https://www.elementtisuunnittelu.fi/rakennejarjestelmat/asuinrakennukset</t>
  </si>
  <si>
    <t>https://co2data.fi/</t>
  </si>
  <si>
    <t>Lähteet:</t>
  </si>
  <si>
    <t>CLT-vertailu</t>
  </si>
  <si>
    <t>CLT 80</t>
  </si>
  <si>
    <t>CLT 120</t>
  </si>
  <si>
    <t>CLT 200</t>
  </si>
  <si>
    <t>CLT 300</t>
  </si>
  <si>
    <t>CLT 400</t>
  </si>
  <si>
    <t>Hiilijalanjälki [tCO2]</t>
  </si>
  <si>
    <t>Hiilikädenjälki [tCO2]</t>
  </si>
  <si>
    <t>Rakentnekerrokset:</t>
  </si>
  <si>
    <t>Alkuperäinen rakennussuunnitelma. Rakenne CLT 80mm.</t>
  </si>
  <si>
    <t>Alkuperäinen rakennussuunnitelma, välipohjalaatta on vaihdettu CLT 200mm laataksi.</t>
  </si>
  <si>
    <t>CLT80 + CLT200 Hiili</t>
  </si>
  <si>
    <t>Alkuperäinen rakenne, mutta ulkoseinän CLT 120mm paksu.</t>
  </si>
  <si>
    <t>Kaikki rakenteet muutettu CLT:n osalta massiivisemmaksi. Ulkoseinä CLT 200mm, Väliseinät CLT 100mm + CLT 100mm, väli- ja yläpohja CLT200</t>
  </si>
  <si>
    <t>Aluperäinen rakenne, mutta ulkoseinät CLT 300mm.</t>
  </si>
  <si>
    <t>Muuten alkuperäinen rakenne, mutta ulkoseinät CLT 400mm.</t>
  </si>
  <si>
    <t>Alkuperäinrn CLT-rakenne on korvattu ranka-rakenteella. Rakenne 51x200.</t>
  </si>
  <si>
    <t xml:space="preserve">Alkuperäinen rakenne on korvattu betonisandwich-elementeillä. </t>
  </si>
  <si>
    <t>ss</t>
  </si>
  <si>
    <t>t</t>
  </si>
  <si>
    <t>N</t>
  </si>
  <si>
    <t>kN</t>
  </si>
  <si>
    <t>m2</t>
  </si>
  <si>
    <t>Rakennus</t>
  </si>
  <si>
    <t>DL</t>
  </si>
  <si>
    <t>LL</t>
  </si>
  <si>
    <t>Katto</t>
  </si>
  <si>
    <t>Pilarit/kpl</t>
  </si>
  <si>
    <t>kN/pilari</t>
  </si>
  <si>
    <t>380x280 pilari'</t>
  </si>
  <si>
    <t>mm2</t>
  </si>
  <si>
    <t>N,varmuus 50%</t>
  </si>
  <si>
    <t>Leveys</t>
  </si>
  <si>
    <t>Syvyys</t>
  </si>
  <si>
    <t>Tekijä:Topi Huhtanen, LAB ammattikorkeakoulu Oy</t>
  </si>
  <si>
    <t>Lisenssi: CC+BY+SA</t>
  </si>
  <si>
    <t>Likimääräinen, laskurissa tarkemmat arvot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</si>
</sst>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0"/>
      <name val="Calibri"/>
      <family val="2"/>
      <scheme val="minor"/>
    </font>
    <font>
      <sz val="16"/>
      <color theme="0"/>
      <name val="Calibri"/>
      <family val="2"/>
      <scheme val="minor"/>
    </font>
    <font>
      <sz val="19"/>
      <color theme="0"/>
      <name val="Segoe UI"/>
      <family val="2"/>
    </font>
    <font>
      <sz val="19"/>
      <color theme="0"/>
      <name val="Calibri"/>
      <family val="2"/>
      <scheme val="minor"/>
    </font>
    <font>
      <sz val="20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i/>
      <u/>
      <sz val="11"/>
      <color theme="10"/>
      <name val="Calibri"/>
      <family val="2"/>
      <scheme val="minor"/>
    </font>
    <font>
      <sz val="18"/>
      <color theme="0"/>
      <name val="Arial"/>
      <family val="2"/>
    </font>
    <font>
      <b/>
      <i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9"/>
      <color theme="0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2"/>
      <color rgb="FF000000"/>
      <name val="Segoe UI"/>
      <family val="2"/>
    </font>
    <font>
      <sz val="12"/>
      <color theme="1"/>
      <name val="Segoe UI"/>
      <family val="2"/>
    </font>
    <font>
      <sz val="12"/>
      <name val="Segoe UI"/>
      <family val="2"/>
    </font>
    <font>
      <sz val="18"/>
      <color theme="0"/>
      <name val="Segoe UI"/>
      <family val="2"/>
    </font>
    <font>
      <sz val="11"/>
      <color theme="0"/>
      <name val="Segoe UI"/>
      <family val="2"/>
    </font>
    <font>
      <b/>
      <sz val="20"/>
      <color theme="0"/>
      <name val="Calibri"/>
      <family val="2"/>
      <scheme val="minor"/>
    </font>
    <font>
      <u/>
      <sz val="11"/>
      <color theme="0"/>
      <name val="Calibri"/>
      <family val="2"/>
      <scheme val="minor"/>
    </font>
    <font>
      <sz val="18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theme="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theme="4"/>
      </top>
      <bottom/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4" fillId="0" borderId="0" applyNumberFormat="0" applyFill="0" applyBorder="0" applyAlignment="0" applyProtection="0"/>
  </cellStyleXfs>
  <cellXfs count="269">
    <xf numFmtId="0" fontId="0" fillId="0" borderId="0" xfId="0"/>
    <xf numFmtId="0" fontId="0" fillId="2" borderId="0" xfId="0" applyFill="1"/>
    <xf numFmtId="1" fontId="0" fillId="0" borderId="0" xfId="0" applyNumberFormat="1"/>
    <xf numFmtId="0" fontId="0" fillId="0" borderId="0" xfId="0" applyBorder="1"/>
    <xf numFmtId="0" fontId="2" fillId="0" borderId="0" xfId="0" applyFont="1"/>
    <xf numFmtId="0" fontId="3" fillId="0" borderId="0" xfId="0" applyFont="1"/>
    <xf numFmtId="0" fontId="0" fillId="0" borderId="32" xfId="0" applyBorder="1"/>
    <xf numFmtId="0" fontId="0" fillId="0" borderId="13" xfId="0" applyBorder="1"/>
    <xf numFmtId="0" fontId="0" fillId="0" borderId="34" xfId="0" applyBorder="1"/>
    <xf numFmtId="0" fontId="0" fillId="0" borderId="35" xfId="0" applyBorder="1"/>
    <xf numFmtId="0" fontId="0" fillId="0" borderId="15" xfId="0" applyBorder="1"/>
    <xf numFmtId="0" fontId="0" fillId="3" borderId="31" xfId="0" applyFill="1" applyBorder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horizontal="center" vertical="center"/>
    </xf>
    <xf numFmtId="0" fontId="0" fillId="0" borderId="0" xfId="0" quotePrefix="1" applyAlignment="1">
      <alignment horizontal="center" vertical="center"/>
    </xf>
    <xf numFmtId="0" fontId="9" fillId="4" borderId="0" xfId="0" applyFont="1" applyFill="1"/>
    <xf numFmtId="0" fontId="10" fillId="4" borderId="0" xfId="0" applyFont="1" applyFill="1" applyBorder="1"/>
    <xf numFmtId="1" fontId="10" fillId="4" borderId="0" xfId="0" applyNumberFormat="1" applyFont="1" applyFill="1" applyBorder="1"/>
    <xf numFmtId="164" fontId="10" fillId="4" borderId="0" xfId="0" applyNumberFormat="1" applyFont="1" applyFill="1" applyBorder="1"/>
    <xf numFmtId="0" fontId="9" fillId="0" borderId="0" xfId="0" applyFont="1" applyBorder="1"/>
    <xf numFmtId="0" fontId="9" fillId="4" borderId="0" xfId="0" applyFont="1" applyFill="1" applyBorder="1"/>
    <xf numFmtId="0" fontId="13" fillId="4" borderId="0" xfId="0" applyFont="1" applyFill="1" applyBorder="1"/>
    <xf numFmtId="0" fontId="11" fillId="4" borderId="0" xfId="0" applyFont="1" applyFill="1" applyBorder="1" applyAlignment="1">
      <alignment horizontal="left" vertical="center" wrapText="1"/>
    </xf>
    <xf numFmtId="0" fontId="11" fillId="4" borderId="0" xfId="0" applyFont="1" applyFill="1" applyBorder="1" applyAlignment="1">
      <alignment horizontal="center" vertical="center" wrapText="1"/>
    </xf>
    <xf numFmtId="1" fontId="12" fillId="4" borderId="0" xfId="0" applyNumberFormat="1" applyFont="1" applyFill="1" applyBorder="1" applyAlignment="1">
      <alignment horizontal="center" vertical="center"/>
    </xf>
    <xf numFmtId="1" fontId="13" fillId="4" borderId="0" xfId="0" applyNumberFormat="1" applyFont="1" applyFill="1" applyBorder="1"/>
    <xf numFmtId="0" fontId="12" fillId="4" borderId="0" xfId="0" applyFont="1" applyFill="1" applyBorder="1"/>
    <xf numFmtId="0" fontId="3" fillId="0" borderId="12" xfId="0" applyFont="1" applyBorder="1"/>
    <xf numFmtId="0" fontId="3" fillId="0" borderId="33" xfId="0" applyFont="1" applyBorder="1"/>
    <xf numFmtId="0" fontId="3" fillId="0" borderId="14" xfId="0" applyFont="1" applyBorder="1"/>
    <xf numFmtId="0" fontId="15" fillId="0" borderId="0" xfId="0" applyFont="1"/>
    <xf numFmtId="0" fontId="16" fillId="0" borderId="0" xfId="1" applyFont="1"/>
    <xf numFmtId="0" fontId="9" fillId="0" borderId="0" xfId="0" applyFont="1" applyFill="1" applyBorder="1"/>
    <xf numFmtId="0" fontId="9" fillId="0" borderId="19" xfId="0" applyFont="1" applyFill="1" applyBorder="1"/>
    <xf numFmtId="0" fontId="9" fillId="0" borderId="25" xfId="0" applyFont="1" applyFill="1" applyBorder="1"/>
    <xf numFmtId="0" fontId="9" fillId="0" borderId="27" xfId="0" applyFont="1" applyFill="1" applyBorder="1"/>
    <xf numFmtId="0" fontId="9" fillId="0" borderId="28" xfId="0" applyFont="1" applyFill="1" applyBorder="1"/>
    <xf numFmtId="0" fontId="9" fillId="0" borderId="29" xfId="0" applyFont="1" applyFill="1" applyBorder="1"/>
    <xf numFmtId="0" fontId="17" fillId="0" borderId="0" xfId="0" applyFont="1" applyFill="1" applyBorder="1" applyAlignment="1">
      <alignment horizontal="left" vertical="center" wrapText="1"/>
    </xf>
    <xf numFmtId="0" fontId="17" fillId="0" borderId="0" xfId="0" applyFont="1" applyFill="1" applyBorder="1"/>
    <xf numFmtId="0" fontId="17" fillId="0" borderId="24" xfId="0" applyFont="1" applyFill="1" applyBorder="1" applyAlignment="1">
      <alignment horizontal="center" vertical="center" wrapText="1"/>
    </xf>
    <xf numFmtId="0" fontId="17" fillId="0" borderId="22" xfId="0" applyFont="1" applyFill="1" applyBorder="1" applyAlignment="1">
      <alignment horizontal="center" vertical="center" wrapText="1"/>
    </xf>
    <xf numFmtId="0" fontId="9" fillId="0" borderId="22" xfId="0" applyFont="1" applyFill="1" applyBorder="1"/>
    <xf numFmtId="0" fontId="9" fillId="0" borderId="23" xfId="0" applyFont="1" applyFill="1" applyBorder="1"/>
    <xf numFmtId="0" fontId="17" fillId="0" borderId="25" xfId="0" applyFont="1" applyFill="1" applyBorder="1" applyAlignment="1">
      <alignment horizontal="left" vertical="center" wrapText="1"/>
    </xf>
    <xf numFmtId="0" fontId="7" fillId="0" borderId="0" xfId="0" applyFont="1"/>
    <xf numFmtId="0" fontId="18" fillId="0" borderId="0" xfId="0" applyFont="1" applyAlignment="1">
      <alignment horizontal="left"/>
    </xf>
    <xf numFmtId="0" fontId="10" fillId="0" borderId="0" xfId="0" applyFont="1" applyFill="1" applyBorder="1"/>
    <xf numFmtId="0" fontId="9" fillId="0" borderId="0" xfId="0" applyFont="1"/>
    <xf numFmtId="0" fontId="9" fillId="0" borderId="19" xfId="0" applyFont="1" applyBorder="1"/>
    <xf numFmtId="0" fontId="9" fillId="0" borderId="24" xfId="0" applyFont="1" applyBorder="1"/>
    <xf numFmtId="0" fontId="9" fillId="0" borderId="22" xfId="0" applyFont="1" applyBorder="1"/>
    <xf numFmtId="0" fontId="9" fillId="0" borderId="23" xfId="0" applyFont="1" applyBorder="1"/>
    <xf numFmtId="0" fontId="9" fillId="0" borderId="25" xfId="0" applyFont="1" applyBorder="1"/>
    <xf numFmtId="0" fontId="19" fillId="0" borderId="0" xfId="0" applyFont="1" applyBorder="1"/>
    <xf numFmtId="0" fontId="20" fillId="0" borderId="0" xfId="0" applyFont="1" applyBorder="1"/>
    <xf numFmtId="0" fontId="20" fillId="0" borderId="19" xfId="0" applyFont="1" applyBorder="1"/>
    <xf numFmtId="0" fontId="19" fillId="0" borderId="19" xfId="0" applyFont="1" applyBorder="1"/>
    <xf numFmtId="0" fontId="19" fillId="0" borderId="0" xfId="0" applyFont="1" applyFill="1" applyBorder="1"/>
    <xf numFmtId="0" fontId="19" fillId="0" borderId="19" xfId="0" applyFont="1" applyFill="1" applyBorder="1"/>
    <xf numFmtId="0" fontId="21" fillId="0" borderId="0" xfId="0" applyFont="1" applyBorder="1"/>
    <xf numFmtId="0" fontId="21" fillId="0" borderId="0" xfId="0" quotePrefix="1" applyFont="1" applyFill="1" applyBorder="1"/>
    <xf numFmtId="0" fontId="21" fillId="0" borderId="0" xfId="0" applyFont="1" applyFill="1" applyBorder="1"/>
    <xf numFmtId="0" fontId="21" fillId="0" borderId="25" xfId="0" quotePrefix="1" applyFont="1" applyBorder="1"/>
    <xf numFmtId="0" fontId="21" fillId="0" borderId="0" xfId="0" quotePrefix="1" applyFont="1" applyBorder="1"/>
    <xf numFmtId="0" fontId="9" fillId="0" borderId="25" xfId="0" quotePrefix="1" applyFont="1" applyBorder="1"/>
    <xf numFmtId="0" fontId="21" fillId="0" borderId="25" xfId="0" applyFont="1" applyBorder="1"/>
    <xf numFmtId="1" fontId="9" fillId="0" borderId="0" xfId="0" applyNumberFormat="1" applyFont="1" applyBorder="1"/>
    <xf numFmtId="1" fontId="9" fillId="0" borderId="19" xfId="0" applyNumberFormat="1" applyFont="1" applyBorder="1"/>
    <xf numFmtId="1" fontId="9" fillId="0" borderId="19" xfId="0" applyNumberFormat="1" applyFont="1" applyFill="1" applyBorder="1"/>
    <xf numFmtId="1" fontId="9" fillId="0" borderId="0" xfId="0" applyNumberFormat="1" applyFont="1"/>
    <xf numFmtId="164" fontId="9" fillId="0" borderId="0" xfId="0" applyNumberFormat="1" applyFont="1"/>
    <xf numFmtId="0" fontId="21" fillId="0" borderId="27" xfId="0" applyFont="1" applyBorder="1"/>
    <xf numFmtId="0" fontId="21" fillId="0" borderId="28" xfId="0" applyFont="1" applyBorder="1"/>
    <xf numFmtId="0" fontId="9" fillId="0" borderId="28" xfId="0" applyFont="1" applyBorder="1"/>
    <xf numFmtId="1" fontId="9" fillId="0" borderId="28" xfId="0" applyNumberFormat="1" applyFont="1" applyBorder="1"/>
    <xf numFmtId="0" fontId="9" fillId="0" borderId="29" xfId="0" applyFont="1" applyBorder="1"/>
    <xf numFmtId="0" fontId="9" fillId="0" borderId="27" xfId="0" applyFont="1" applyBorder="1"/>
    <xf numFmtId="0" fontId="10" fillId="0" borderId="0" xfId="0" applyFont="1"/>
    <xf numFmtId="0" fontId="21" fillId="0" borderId="0" xfId="0" applyFont="1"/>
    <xf numFmtId="0" fontId="19" fillId="0" borderId="0" xfId="0" applyFont="1"/>
    <xf numFmtId="0" fontId="9" fillId="0" borderId="0" xfId="0" quotePrefix="1" applyFont="1"/>
    <xf numFmtId="0" fontId="19" fillId="0" borderId="12" xfId="0" applyFont="1" applyBorder="1"/>
    <xf numFmtId="0" fontId="9" fillId="0" borderId="32" xfId="0" applyFont="1" applyBorder="1"/>
    <xf numFmtId="0" fontId="9" fillId="0" borderId="13" xfId="0" applyFont="1" applyBorder="1"/>
    <xf numFmtId="0" fontId="9" fillId="0" borderId="33" xfId="0" applyFont="1" applyBorder="1"/>
    <xf numFmtId="1" fontId="9" fillId="0" borderId="34" xfId="0" applyNumberFormat="1" applyFont="1" applyBorder="1"/>
    <xf numFmtId="0" fontId="9" fillId="0" borderId="14" xfId="0" applyFont="1" applyBorder="1"/>
    <xf numFmtId="1" fontId="9" fillId="0" borderId="35" xfId="0" applyNumberFormat="1" applyFont="1" applyBorder="1"/>
    <xf numFmtId="1" fontId="9" fillId="0" borderId="15" xfId="0" applyNumberFormat="1" applyFont="1" applyBorder="1"/>
    <xf numFmtId="0" fontId="19" fillId="0" borderId="24" xfId="0" applyFont="1" applyBorder="1"/>
    <xf numFmtId="0" fontId="20" fillId="0" borderId="22" xfId="0" applyFont="1" applyBorder="1"/>
    <xf numFmtId="0" fontId="20" fillId="0" borderId="26" xfId="0" applyFont="1" applyBorder="1"/>
    <xf numFmtId="0" fontId="20" fillId="0" borderId="23" xfId="0" applyFont="1" applyBorder="1"/>
    <xf numFmtId="0" fontId="20" fillId="0" borderId="22" xfId="0" applyFont="1" applyFill="1" applyBorder="1"/>
    <xf numFmtId="0" fontId="20" fillId="0" borderId="23" xfId="0" applyFont="1" applyFill="1" applyBorder="1"/>
    <xf numFmtId="0" fontId="21" fillId="0" borderId="19" xfId="0" applyFont="1" applyBorder="1"/>
    <xf numFmtId="1" fontId="21" fillId="0" borderId="0" xfId="0" applyNumberFormat="1" applyFont="1" applyBorder="1"/>
    <xf numFmtId="1" fontId="21" fillId="0" borderId="19" xfId="0" applyNumberFormat="1" applyFont="1" applyBorder="1"/>
    <xf numFmtId="1" fontId="21" fillId="0" borderId="0" xfId="0" applyNumberFormat="1" applyFont="1" applyFill="1" applyBorder="1"/>
    <xf numFmtId="0" fontId="21" fillId="0" borderId="0" xfId="0" applyFont="1" applyBorder="1" applyAlignment="1">
      <alignment horizontal="right" vertical="center"/>
    </xf>
    <xf numFmtId="1" fontId="21" fillId="0" borderId="5" xfId="0" applyNumberFormat="1" applyFont="1" applyBorder="1" applyAlignment="1">
      <alignment vertical="center"/>
    </xf>
    <xf numFmtId="0" fontId="21" fillId="0" borderId="20" xfId="0" applyFont="1" applyBorder="1" applyAlignment="1">
      <alignment vertical="center"/>
    </xf>
    <xf numFmtId="1" fontId="21" fillId="0" borderId="5" xfId="0" applyNumberFormat="1" applyFont="1" applyBorder="1"/>
    <xf numFmtId="0" fontId="21" fillId="0" borderId="24" xfId="0" applyFont="1" applyBorder="1"/>
    <xf numFmtId="0" fontId="21" fillId="0" borderId="22" xfId="0" applyFont="1" applyBorder="1"/>
    <xf numFmtId="1" fontId="21" fillId="0" borderId="22" xfId="0" applyNumberFormat="1" applyFont="1" applyBorder="1"/>
    <xf numFmtId="1" fontId="21" fillId="0" borderId="23" xfId="0" applyNumberFormat="1" applyFont="1" applyBorder="1"/>
    <xf numFmtId="1" fontId="9" fillId="0" borderId="22" xfId="0" applyNumberFormat="1" applyFont="1" applyBorder="1"/>
    <xf numFmtId="1" fontId="9" fillId="0" borderId="23" xfId="0" applyNumberFormat="1" applyFont="1" applyBorder="1"/>
    <xf numFmtId="0" fontId="21" fillId="0" borderId="24" xfId="0" applyFont="1" applyFill="1" applyBorder="1"/>
    <xf numFmtId="0" fontId="21" fillId="0" borderId="22" xfId="0" applyFont="1" applyFill="1" applyBorder="1"/>
    <xf numFmtId="0" fontId="21" fillId="0" borderId="23" xfId="0" applyFont="1" applyFill="1" applyBorder="1"/>
    <xf numFmtId="0" fontId="21" fillId="0" borderId="28" xfId="0" applyFont="1" applyFill="1" applyBorder="1"/>
    <xf numFmtId="1" fontId="21" fillId="0" borderId="28" xfId="0" applyNumberFormat="1" applyFont="1" applyFill="1" applyBorder="1"/>
    <xf numFmtId="1" fontId="21" fillId="0" borderId="28" xfId="0" applyNumberFormat="1" applyFont="1" applyBorder="1"/>
    <xf numFmtId="164" fontId="9" fillId="0" borderId="28" xfId="0" applyNumberFormat="1" applyFont="1" applyBorder="1"/>
    <xf numFmtId="0" fontId="21" fillId="0" borderId="0" xfId="0" quotePrefix="1" applyFont="1"/>
    <xf numFmtId="0" fontId="9" fillId="2" borderId="0" xfId="0" applyFont="1" applyFill="1"/>
    <xf numFmtId="0" fontId="9" fillId="0" borderId="12" xfId="0" applyFont="1" applyBorder="1"/>
    <xf numFmtId="0" fontId="9" fillId="0" borderId="34" xfId="0" applyFont="1" applyBorder="1"/>
    <xf numFmtId="164" fontId="9" fillId="0" borderId="0" xfId="0" applyNumberFormat="1" applyFont="1" applyBorder="1"/>
    <xf numFmtId="2" fontId="19" fillId="0" borderId="0" xfId="0" applyNumberFormat="1" applyFont="1" applyBorder="1"/>
    <xf numFmtId="2" fontId="9" fillId="0" borderId="0" xfId="0" applyNumberFormat="1" applyFont="1" applyBorder="1"/>
    <xf numFmtId="0" fontId="9" fillId="0" borderId="0" xfId="0" quotePrefix="1" applyFont="1" applyBorder="1"/>
    <xf numFmtId="0" fontId="9" fillId="0" borderId="31" xfId="0" applyFont="1" applyBorder="1"/>
    <xf numFmtId="0" fontId="9" fillId="0" borderId="35" xfId="0" applyFont="1" applyBorder="1"/>
    <xf numFmtId="0" fontId="9" fillId="0" borderId="15" xfId="0" applyFont="1" applyBorder="1"/>
    <xf numFmtId="1" fontId="9" fillId="0" borderId="30" xfId="0" applyNumberFormat="1" applyFont="1" applyBorder="1"/>
    <xf numFmtId="0" fontId="9" fillId="0" borderId="36" xfId="0" applyFont="1" applyBorder="1"/>
    <xf numFmtId="0" fontId="9" fillId="0" borderId="37" xfId="0" applyFont="1" applyBorder="1"/>
    <xf numFmtId="2" fontId="9" fillId="0" borderId="13" xfId="0" applyNumberFormat="1" applyFont="1" applyBorder="1"/>
    <xf numFmtId="0" fontId="9" fillId="0" borderId="38" xfId="0" applyFont="1" applyBorder="1"/>
    <xf numFmtId="2" fontId="9" fillId="0" borderId="37" xfId="0" applyNumberFormat="1" applyFont="1" applyBorder="1"/>
    <xf numFmtId="0" fontId="23" fillId="0" borderId="0" xfId="0" applyFont="1"/>
    <xf numFmtId="0" fontId="24" fillId="0" borderId="1" xfId="0" applyFont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 wrapText="1"/>
    </xf>
    <xf numFmtId="0" fontId="24" fillId="0" borderId="17" xfId="0" applyFont="1" applyBorder="1" applyAlignment="1">
      <alignment horizontal="left" vertical="center" wrapText="1"/>
    </xf>
    <xf numFmtId="0" fontId="24" fillId="0" borderId="8" xfId="0" applyFont="1" applyBorder="1" applyAlignment="1">
      <alignment horizontal="left" vertical="center" wrapText="1"/>
    </xf>
    <xf numFmtId="1" fontId="2" fillId="0" borderId="0" xfId="0" applyNumberFormat="1" applyFont="1"/>
    <xf numFmtId="0" fontId="24" fillId="0" borderId="18" xfId="0" applyFont="1" applyBorder="1" applyAlignment="1">
      <alignment horizontal="left" vertical="center" wrapText="1"/>
    </xf>
    <xf numFmtId="0" fontId="24" fillId="0" borderId="16" xfId="0" applyFont="1" applyBorder="1" applyAlignment="1">
      <alignment horizontal="left" vertical="center" wrapText="1"/>
    </xf>
    <xf numFmtId="0" fontId="24" fillId="0" borderId="16" xfId="0" applyFont="1" applyBorder="1" applyAlignment="1">
      <alignment horizontal="center" vertical="center" wrapText="1"/>
    </xf>
    <xf numFmtId="1" fontId="2" fillId="0" borderId="16" xfId="0" applyNumberFormat="1" applyFont="1" applyBorder="1" applyAlignment="1">
      <alignment horizontal="center" vertical="center"/>
    </xf>
    <xf numFmtId="0" fontId="24" fillId="0" borderId="16" xfId="0" applyFont="1" applyFill="1" applyBorder="1" applyAlignment="1">
      <alignment horizontal="left" vertical="center" wrapText="1"/>
    </xf>
    <xf numFmtId="0" fontId="24" fillId="0" borderId="16" xfId="0" applyFont="1" applyFill="1" applyBorder="1" applyAlignment="1">
      <alignment horizontal="center" vertical="center" wrapText="1"/>
    </xf>
    <xf numFmtId="1" fontId="2" fillId="0" borderId="16" xfId="0" applyNumberFormat="1" applyFont="1" applyFill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6" xfId="0" applyFont="1" applyBorder="1"/>
    <xf numFmtId="0" fontId="4" fillId="0" borderId="0" xfId="0" applyFont="1"/>
    <xf numFmtId="0" fontId="24" fillId="0" borderId="2" xfId="0" applyFont="1" applyFill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4" fillId="0" borderId="4" xfId="0" applyFont="1" applyBorder="1" applyAlignment="1">
      <alignment horizontal="center" vertical="center" wrapText="1"/>
    </xf>
    <xf numFmtId="0" fontId="24" fillId="0" borderId="3" xfId="0" applyFont="1" applyBorder="1" applyAlignment="1">
      <alignment horizontal="left" vertical="center" wrapText="1"/>
    </xf>
    <xf numFmtId="0" fontId="24" fillId="0" borderId="1" xfId="0" applyFont="1" applyBorder="1" applyAlignment="1">
      <alignment horizontal="left" vertical="center" wrapText="1"/>
    </xf>
    <xf numFmtId="0" fontId="24" fillId="0" borderId="4" xfId="0" applyFont="1" applyBorder="1" applyAlignment="1">
      <alignment horizontal="left" vertical="center" wrapText="1"/>
    </xf>
    <xf numFmtId="0" fontId="24" fillId="0" borderId="3" xfId="0" applyFont="1" applyBorder="1" applyAlignment="1">
      <alignment horizontal="center" wrapText="1"/>
    </xf>
    <xf numFmtId="0" fontId="24" fillId="0" borderId="1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24" fillId="0" borderId="4" xfId="0" applyFont="1" applyBorder="1" applyAlignment="1">
      <alignment horizontal="center" wrapText="1"/>
    </xf>
    <xf numFmtId="1" fontId="2" fillId="0" borderId="0" xfId="0" applyNumberFormat="1" applyFont="1" applyAlignment="1">
      <alignment horizontal="center"/>
    </xf>
    <xf numFmtId="0" fontId="25" fillId="0" borderId="0" xfId="0" applyFont="1"/>
    <xf numFmtId="0" fontId="2" fillId="0" borderId="0" xfId="0" applyFont="1" applyAlignment="1">
      <alignment vertical="center"/>
    </xf>
    <xf numFmtId="0" fontId="24" fillId="0" borderId="1" xfId="0" applyFont="1" applyBorder="1" applyAlignment="1">
      <alignment vertical="center" wrapText="1"/>
    </xf>
    <xf numFmtId="0" fontId="25" fillId="0" borderId="0" xfId="0" applyFont="1" applyAlignment="1">
      <alignment vertical="center"/>
    </xf>
    <xf numFmtId="0" fontId="24" fillId="0" borderId="3" xfId="0" applyFont="1" applyBorder="1" applyAlignment="1">
      <alignment vertical="center" wrapText="1"/>
    </xf>
    <xf numFmtId="0" fontId="24" fillId="0" borderId="4" xfId="0" applyFont="1" applyBorder="1" applyAlignment="1">
      <alignment vertical="center" wrapText="1"/>
    </xf>
    <xf numFmtId="1" fontId="2" fillId="0" borderId="0" xfId="0" applyNumberFormat="1" applyFont="1" applyAlignment="1">
      <alignment vertical="center"/>
    </xf>
    <xf numFmtId="1" fontId="24" fillId="0" borderId="1" xfId="0" applyNumberFormat="1" applyFont="1" applyBorder="1" applyAlignment="1">
      <alignment horizontal="left" vertical="center" wrapText="1"/>
    </xf>
    <xf numFmtId="0" fontId="26" fillId="0" borderId="0" xfId="0" applyFont="1"/>
    <xf numFmtId="0" fontId="24" fillId="0" borderId="6" xfId="0" applyFont="1" applyBorder="1" applyAlignment="1">
      <alignment horizontal="center" vertical="center" wrapText="1"/>
    </xf>
    <xf numFmtId="0" fontId="24" fillId="0" borderId="7" xfId="0" applyFont="1" applyBorder="1" applyAlignment="1">
      <alignment horizontal="left" vertical="center" wrapText="1"/>
    </xf>
    <xf numFmtId="0" fontId="26" fillId="0" borderId="9" xfId="0" applyFont="1" applyBorder="1"/>
    <xf numFmtId="0" fontId="26" fillId="0" borderId="10" xfId="0" applyFont="1" applyBorder="1"/>
    <xf numFmtId="0" fontId="26" fillId="0" borderId="11" xfId="0" applyFont="1" applyBorder="1"/>
    <xf numFmtId="1" fontId="26" fillId="0" borderId="12" xfId="0" applyNumberFormat="1" applyFont="1" applyBorder="1"/>
    <xf numFmtId="0" fontId="26" fillId="0" borderId="13" xfId="0" applyFont="1" applyBorder="1"/>
    <xf numFmtId="1" fontId="26" fillId="0" borderId="14" xfId="0" applyNumberFormat="1" applyFont="1" applyBorder="1"/>
    <xf numFmtId="0" fontId="26" fillId="0" borderId="15" xfId="0" applyFont="1" applyBorder="1"/>
    <xf numFmtId="1" fontId="25" fillId="0" borderId="0" xfId="0" applyNumberFormat="1" applyFont="1"/>
    <xf numFmtId="0" fontId="27" fillId="0" borderId="0" xfId="0" applyFont="1"/>
    <xf numFmtId="0" fontId="27" fillId="0" borderId="1" xfId="0" applyFont="1" applyBorder="1" applyAlignment="1">
      <alignment horizontal="center" vertical="center" wrapText="1"/>
    </xf>
    <xf numFmtId="0" fontId="27" fillId="0" borderId="6" xfId="0" applyFont="1" applyBorder="1" applyAlignment="1">
      <alignment horizontal="center" vertical="center" wrapText="1"/>
    </xf>
    <xf numFmtId="0" fontId="27" fillId="0" borderId="3" xfId="0" applyFont="1" applyBorder="1" applyAlignment="1">
      <alignment horizontal="left" vertical="center" wrapText="1"/>
    </xf>
    <xf numFmtId="0" fontId="27" fillId="0" borderId="1" xfId="0" applyFont="1" applyBorder="1" applyAlignment="1">
      <alignment horizontal="left" vertical="center" wrapText="1"/>
    </xf>
    <xf numFmtId="0" fontId="27" fillId="0" borderId="7" xfId="0" applyFont="1" applyBorder="1" applyAlignment="1">
      <alignment horizontal="left" vertical="center" wrapText="1"/>
    </xf>
    <xf numFmtId="0" fontId="27" fillId="0" borderId="4" xfId="0" applyFont="1" applyBorder="1" applyAlignment="1">
      <alignment horizontal="left" vertical="center" wrapText="1"/>
    </xf>
    <xf numFmtId="0" fontId="27" fillId="0" borderId="8" xfId="0" applyFont="1" applyBorder="1" applyAlignment="1">
      <alignment horizontal="left" vertical="center" wrapText="1"/>
    </xf>
    <xf numFmtId="0" fontId="27" fillId="0" borderId="9" xfId="0" applyFont="1" applyBorder="1"/>
    <xf numFmtId="0" fontId="27" fillId="0" borderId="10" xfId="0" applyFont="1" applyBorder="1"/>
    <xf numFmtId="0" fontId="27" fillId="0" borderId="11" xfId="0" applyFont="1" applyBorder="1"/>
    <xf numFmtId="1" fontId="27" fillId="0" borderId="12" xfId="0" applyNumberFormat="1" applyFont="1" applyBorder="1"/>
    <xf numFmtId="0" fontId="27" fillId="0" borderId="13" xfId="0" applyFont="1" applyBorder="1"/>
    <xf numFmtId="1" fontId="27" fillId="0" borderId="14" xfId="0" applyNumberFormat="1" applyFont="1" applyBorder="1"/>
    <xf numFmtId="0" fontId="27" fillId="0" borderId="15" xfId="0" applyFont="1" applyBorder="1"/>
    <xf numFmtId="1" fontId="27" fillId="0" borderId="0" xfId="0" applyNumberFormat="1" applyFont="1"/>
    <xf numFmtId="0" fontId="17" fillId="0" borderId="4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left" vertical="center" wrapText="1"/>
    </xf>
    <xf numFmtId="0" fontId="17" fillId="2" borderId="4" xfId="0" applyFont="1" applyFill="1" applyBorder="1" applyAlignment="1">
      <alignment horizontal="left" vertical="center" wrapText="1"/>
    </xf>
    <xf numFmtId="0" fontId="28" fillId="0" borderId="0" xfId="0" applyFont="1"/>
    <xf numFmtId="0" fontId="12" fillId="0" borderId="0" xfId="0" applyFont="1"/>
    <xf numFmtId="0" fontId="11" fillId="0" borderId="1" xfId="0" applyFont="1" applyBorder="1" applyAlignment="1">
      <alignment horizontal="center" vertical="center" wrapText="1"/>
    </xf>
    <xf numFmtId="0" fontId="11" fillId="0" borderId="0" xfId="0" applyFont="1"/>
    <xf numFmtId="0" fontId="11" fillId="0" borderId="1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1" fontId="11" fillId="0" borderId="1" xfId="0" applyNumberFormat="1" applyFont="1" applyBorder="1" applyAlignment="1">
      <alignment horizontal="left" vertical="center" wrapText="1"/>
    </xf>
    <xf numFmtId="1" fontId="12" fillId="0" borderId="0" xfId="0" applyNumberFormat="1" applyFont="1"/>
    <xf numFmtId="0" fontId="13" fillId="0" borderId="33" xfId="0" applyFont="1" applyBorder="1"/>
    <xf numFmtId="0" fontId="13" fillId="0" borderId="0" xfId="0" applyFont="1" applyBorder="1"/>
    <xf numFmtId="164" fontId="13" fillId="0" borderId="0" xfId="0" applyNumberFormat="1" applyFont="1" applyBorder="1"/>
    <xf numFmtId="0" fontId="13" fillId="0" borderId="34" xfId="0" applyFont="1" applyBorder="1"/>
    <xf numFmtId="1" fontId="13" fillId="0" borderId="0" xfId="0" applyNumberFormat="1" applyFont="1" applyBorder="1"/>
    <xf numFmtId="0" fontId="13" fillId="0" borderId="0" xfId="0" applyFont="1"/>
    <xf numFmtId="0" fontId="13" fillId="0" borderId="14" xfId="0" applyFont="1" applyBorder="1"/>
    <xf numFmtId="0" fontId="13" fillId="0" borderId="35" xfId="0" applyFont="1" applyBorder="1"/>
    <xf numFmtId="0" fontId="13" fillId="0" borderId="15" xfId="0" applyFont="1" applyBorder="1"/>
    <xf numFmtId="0" fontId="29" fillId="0" borderId="0" xfId="0" applyFont="1"/>
    <xf numFmtId="164" fontId="29" fillId="0" borderId="0" xfId="0" applyNumberFormat="1" applyFont="1"/>
    <xf numFmtId="0" fontId="11" fillId="2" borderId="3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2" fillId="2" borderId="0" xfId="0" applyFont="1" applyFill="1"/>
    <xf numFmtId="0" fontId="11" fillId="2" borderId="4" xfId="0" applyFont="1" applyFill="1" applyBorder="1" applyAlignment="1">
      <alignment horizontal="left" vertical="center" wrapText="1"/>
    </xf>
    <xf numFmtId="0" fontId="9" fillId="2" borderId="0" xfId="0" applyFont="1" applyFill="1" applyBorder="1"/>
    <xf numFmtId="0" fontId="13" fillId="0" borderId="24" xfId="0" applyFont="1" applyBorder="1"/>
    <xf numFmtId="0" fontId="30" fillId="0" borderId="22" xfId="0" applyFont="1" applyBorder="1"/>
    <xf numFmtId="0" fontId="30" fillId="0" borderId="23" xfId="0" applyFont="1" applyBorder="1"/>
    <xf numFmtId="0" fontId="10" fillId="0" borderId="32" xfId="0" applyFont="1" applyBorder="1" applyAlignment="1">
      <alignment horizontal="center" vertical="center"/>
    </xf>
    <xf numFmtId="0" fontId="31" fillId="0" borderId="35" xfId="0" applyFont="1" applyBorder="1"/>
    <xf numFmtId="0" fontId="13" fillId="0" borderId="12" xfId="0" applyFont="1" applyBorder="1"/>
    <xf numFmtId="0" fontId="9" fillId="0" borderId="32" xfId="0" quotePrefix="1" applyFont="1" applyBorder="1"/>
    <xf numFmtId="164" fontId="9" fillId="0" borderId="32" xfId="0" applyNumberFormat="1" applyFont="1" applyBorder="1"/>
    <xf numFmtId="0" fontId="9" fillId="0" borderId="33" xfId="0" applyFont="1" applyFill="1" applyBorder="1"/>
    <xf numFmtId="0" fontId="11" fillId="0" borderId="2" xfId="0" applyFont="1" applyFill="1" applyBorder="1" applyAlignment="1">
      <alignment horizontal="center" vertical="center" wrapText="1"/>
    </xf>
    <xf numFmtId="0" fontId="9" fillId="0" borderId="5" xfId="0" applyFont="1" applyBorder="1"/>
    <xf numFmtId="0" fontId="9" fillId="0" borderId="21" xfId="0" applyFont="1" applyBorder="1"/>
    <xf numFmtId="0" fontId="12" fillId="0" borderId="0" xfId="0" applyFont="1" applyAlignment="1">
      <alignment vertical="center"/>
    </xf>
    <xf numFmtId="0" fontId="11" fillId="0" borderId="1" xfId="0" applyFont="1" applyBorder="1" applyAlignment="1">
      <alignment vertical="center" wrapText="1"/>
    </xf>
    <xf numFmtId="0" fontId="11" fillId="0" borderId="0" xfId="0" applyFont="1" applyAlignment="1">
      <alignment vertical="center"/>
    </xf>
    <xf numFmtId="0" fontId="11" fillId="0" borderId="3" xfId="0" applyFont="1" applyBorder="1" applyAlignment="1">
      <alignment vertical="center" wrapText="1"/>
    </xf>
    <xf numFmtId="0" fontId="11" fillId="0" borderId="4" xfId="0" applyFont="1" applyBorder="1" applyAlignment="1">
      <alignment vertical="center" wrapText="1"/>
    </xf>
    <xf numFmtId="1" fontId="12" fillId="0" borderId="0" xfId="0" applyNumberFormat="1" applyFont="1" applyAlignment="1">
      <alignment vertical="center"/>
    </xf>
    <xf numFmtId="0" fontId="12" fillId="0" borderId="5" xfId="0" applyFont="1" applyBorder="1" applyAlignment="1">
      <alignment vertical="center"/>
    </xf>
    <xf numFmtId="0" fontId="11" fillId="2" borderId="1" xfId="0" applyFont="1" applyFill="1" applyBorder="1" applyAlignment="1">
      <alignment vertical="center" wrapText="1"/>
    </xf>
    <xf numFmtId="0" fontId="12" fillId="2" borderId="5" xfId="0" applyFont="1" applyFill="1" applyBorder="1" applyAlignment="1">
      <alignment vertical="center"/>
    </xf>
    <xf numFmtId="0" fontId="11" fillId="2" borderId="4" xfId="0" applyFont="1" applyFill="1" applyBorder="1" applyAlignment="1">
      <alignment vertical="center" wrapText="1"/>
    </xf>
    <xf numFmtId="0" fontId="9" fillId="0" borderId="30" xfId="0" applyFont="1" applyBorder="1"/>
    <xf numFmtId="0" fontId="9" fillId="0" borderId="39" xfId="0" applyFont="1" applyBorder="1"/>
    <xf numFmtId="0" fontId="11" fillId="0" borderId="3" xfId="0" applyFont="1" applyBorder="1" applyAlignment="1">
      <alignment horizontal="center" wrapText="1"/>
    </xf>
    <xf numFmtId="0" fontId="11" fillId="0" borderId="1" xfId="0" applyFont="1" applyBorder="1" applyAlignment="1">
      <alignment horizontal="center" wrapText="1"/>
    </xf>
    <xf numFmtId="0" fontId="12" fillId="0" borderId="0" xfId="0" applyFont="1" applyAlignment="1">
      <alignment horizontal="center"/>
    </xf>
    <xf numFmtId="0" fontId="11" fillId="0" borderId="4" xfId="0" applyFont="1" applyBorder="1" applyAlignment="1">
      <alignment horizontal="center" wrapText="1"/>
    </xf>
    <xf numFmtId="1" fontId="12" fillId="0" borderId="0" xfId="0" applyNumberFormat="1" applyFont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21" xfId="0" applyFont="1" applyBorder="1" applyAlignment="1">
      <alignment horizontal="center"/>
    </xf>
    <xf numFmtId="0" fontId="22" fillId="0" borderId="0" xfId="0" applyFont="1"/>
    <xf numFmtId="0" fontId="11" fillId="0" borderId="3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1" fillId="0" borderId="4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12" fillId="0" borderId="0" xfId="0" applyFont="1" applyBorder="1"/>
    <xf numFmtId="2" fontId="9" fillId="4" borderId="0" xfId="0" applyNumberFormat="1" applyFont="1" applyFill="1" applyBorder="1"/>
    <xf numFmtId="0" fontId="32" fillId="0" borderId="0" xfId="0" applyFont="1"/>
    <xf numFmtId="1" fontId="20" fillId="0" borderId="0" xfId="0" applyNumberFormat="1" applyFont="1"/>
    <xf numFmtId="0" fontId="24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</cellXfs>
  <cellStyles count="2">
    <cellStyle name="Hyperlinkki" xfId="1" builtinId="8"/>
    <cellStyle name="Normaali" xfId="0" builtinId="0"/>
  </cellStyles>
  <dxfs count="28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0"/>
        <name val="Segoe UI"/>
        <family val="2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rgb="FF000000"/>
        </left>
        <right/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0"/>
        <name val="Segoe UI"/>
        <family val="2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0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0"/>
        <name val="Segoe UI"/>
        <family val="2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0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0"/>
        <name val="Segoe UI"/>
        <family val="2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0"/>
        <name val="Segoe UI"/>
        <family val="2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0"/>
        <name val="Segoe UI"/>
        <family val="2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0"/>
        <name val="Segoe UI"/>
        <family val="2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0"/>
        <name val="Segoe UI"/>
        <family val="2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0"/>
        <name val="Segoe UI"/>
        <family val="2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0"/>
        <name val="Segoe UI"/>
        <family val="2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0"/>
        <name val="Segoe UI"/>
        <family val="2"/>
        <scheme val="none"/>
      </font>
      <alignment horizontal="left" vertical="center" textRotation="0" wrapText="1" indent="0" justifyLastLine="0" shrinkToFit="0" readingOrder="0"/>
      <border diagonalUp="0" diagonalDown="0" outline="0">
        <left/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</border>
    </dxf>
    <dxf>
      <font>
        <strike val="0"/>
        <outline val="0"/>
        <shadow val="0"/>
        <u val="none"/>
        <vertAlign val="baseline"/>
        <sz val="18"/>
        <color theme="0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0"/>
        <name val="Segoe UI"/>
        <family val="2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9"/>
        <color theme="0"/>
        <name val="Segoe UI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rgb="FF000000"/>
        </left>
        <right/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9"/>
        <color theme="0"/>
        <name val="Segoe UI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9"/>
        <color theme="0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9"/>
        <color theme="0"/>
        <name val="Segoe UI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9"/>
        <color theme="0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9"/>
        <color theme="0"/>
        <name val="Segoe UI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9"/>
        <color theme="0"/>
        <name val="Segoe UI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9"/>
        <color theme="0"/>
        <name val="Segoe UI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9"/>
        <color theme="0"/>
        <name val="Segoe UI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9"/>
        <color theme="0"/>
        <name val="Segoe UI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9"/>
        <color theme="0"/>
        <name val="Segoe UI"/>
        <scheme val="none"/>
      </font>
      <alignment horizontal="left" vertical="center" textRotation="0" wrapText="1" indent="0" justifyLastLine="0" shrinkToFit="0" readingOrder="0"/>
      <border diagonalUp="0" diagonalDown="0" outline="0">
        <left/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</border>
    </dxf>
    <dxf>
      <font>
        <strike val="0"/>
        <outline val="0"/>
        <shadow val="0"/>
        <vertAlign val="baseline"/>
        <color theme="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9"/>
        <color theme="0"/>
        <name val="Segoe UI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9"/>
        <color theme="0"/>
        <name val="Segoe UI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rgb="FF000000"/>
        </left>
        <right/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9"/>
        <color theme="0"/>
        <name val="Segoe UI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9"/>
        <color theme="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9"/>
        <color theme="0"/>
        <name val="Segoe UI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9"/>
        <color theme="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9"/>
        <color theme="0"/>
        <name val="Segoe UI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9"/>
        <color theme="0"/>
        <name val="Segoe UI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9"/>
        <color theme="0"/>
        <name val="Segoe UI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9"/>
        <color theme="0"/>
        <name val="Segoe UI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9"/>
        <color theme="0"/>
        <name val="Segoe UI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9"/>
        <color theme="0"/>
        <name val="Segoe UI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9"/>
        <color theme="0"/>
        <name val="Segoe UI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9"/>
        <color theme="0"/>
        <name val="Segoe UI"/>
        <scheme val="none"/>
      </font>
      <alignment horizontal="left" vertical="center" textRotation="0" wrapText="1" indent="0" justifyLastLine="0" shrinkToFit="0" readingOrder="0"/>
      <border diagonalUp="0" diagonalDown="0" outline="0">
        <left/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</border>
    </dxf>
    <dxf>
      <font>
        <strike val="0"/>
        <outline val="0"/>
        <shadow val="0"/>
        <u val="none"/>
        <vertAlign val="baseline"/>
        <sz val="19"/>
        <color theme="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9"/>
        <color theme="0"/>
        <name val="Segoe UI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font>
        <color rgb="FF006100"/>
      </font>
      <fill>
        <patternFill>
          <bgColor rgb="FFC6EF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9"/>
        <color theme="0"/>
        <name val="Segoe UI"/>
        <family val="2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rgb="FF000000"/>
        </left>
        <right/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9"/>
        <color theme="0"/>
        <name val="Segoe UI"/>
        <family val="2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9"/>
        <color theme="0"/>
        <name val="Calibri"/>
        <family val="2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9"/>
        <color theme="0"/>
        <name val="Segoe UI"/>
        <family val="2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9"/>
        <color theme="0"/>
        <name val="Calibri"/>
        <family val="2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9"/>
        <color theme="0"/>
        <name val="Segoe UI"/>
        <family val="2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9"/>
        <color theme="0"/>
        <name val="Segoe UI"/>
        <family val="2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9"/>
        <color theme="0"/>
        <name val="Segoe UI"/>
        <family val="2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9"/>
        <color theme="0"/>
        <name val="Segoe UI"/>
        <family val="2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9"/>
        <color theme="0"/>
        <name val="Segoe UI"/>
        <family val="2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9"/>
        <color theme="0"/>
        <name val="Segoe UI"/>
        <family val="2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9"/>
        <color theme="0"/>
        <name val="Segoe UI"/>
        <family val="2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9"/>
        <color theme="0"/>
        <name val="Segoe UI"/>
        <family val="2"/>
        <scheme val="none"/>
      </font>
      <alignment horizontal="general" vertical="center" textRotation="0" wrapText="1" indent="0" justifyLastLine="0" shrinkToFit="0" readingOrder="0"/>
      <border diagonalUp="0" diagonalDown="0" outline="0">
        <left/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</border>
    </dxf>
    <dxf>
      <font>
        <strike val="0"/>
        <outline val="0"/>
        <shadow val="0"/>
        <u val="none"/>
        <vertAlign val="baseline"/>
        <color theme="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9"/>
        <color theme="0"/>
        <name val="Segoe UI"/>
        <family val="2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9"/>
        <color theme="0"/>
        <name val="Segoe UI"/>
        <family val="2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rgb="FF000000"/>
        </left>
        <right/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9"/>
        <color theme="0"/>
        <name val="Segoe UI"/>
        <family val="2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9"/>
        <color theme="0"/>
        <name val="Calibri"/>
        <family val="2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9"/>
        <color theme="0"/>
        <name val="Segoe UI"/>
        <family val="2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9"/>
        <color theme="0"/>
        <name val="Calibri"/>
        <family val="2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9"/>
        <color theme="0"/>
        <name val="Segoe UI"/>
        <family val="2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9"/>
        <color theme="0"/>
        <name val="Segoe UI"/>
        <family val="2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9"/>
        <color theme="0"/>
        <name val="Segoe UI"/>
        <family val="2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9"/>
        <color theme="0"/>
        <name val="Segoe UI"/>
        <family val="2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9"/>
        <color theme="0"/>
        <name val="Segoe UI"/>
        <family val="2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9"/>
        <color theme="0"/>
        <name val="Segoe UI"/>
        <family val="2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9"/>
        <color theme="0"/>
        <name val="Segoe UI"/>
        <family val="2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9"/>
        <color theme="0"/>
        <name val="Segoe UI"/>
        <family val="2"/>
        <scheme val="none"/>
      </font>
      <alignment horizontal="general" vertical="center" textRotation="0" wrapText="1" indent="0" justifyLastLine="0" shrinkToFit="0" readingOrder="0"/>
      <border diagonalUp="0" diagonalDown="0" outline="0">
        <left/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</border>
    </dxf>
    <dxf>
      <font>
        <strike val="0"/>
        <outline val="0"/>
        <shadow val="0"/>
        <u val="none"/>
        <vertAlign val="baseline"/>
        <color theme="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9"/>
        <color theme="0"/>
        <name val="Segoe UI"/>
        <family val="2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9"/>
        <color theme="0"/>
        <name val="Segoe UI"/>
        <family val="2"/>
        <scheme val="none"/>
      </font>
      <alignment horizontal="center" vertical="bottom" textRotation="0" wrapText="1" indent="0" justifyLastLine="0" shrinkToFit="0" readingOrder="0"/>
      <border diagonalUp="0" diagonalDown="0" outline="0">
        <left style="thin">
          <color rgb="FF000000"/>
        </left>
        <right/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9"/>
        <color theme="0"/>
        <name val="Segoe UI"/>
        <family val="2"/>
        <scheme val="none"/>
      </font>
      <alignment horizontal="center" vertical="bottom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9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9"/>
        <color theme="0"/>
        <name val="Segoe UI"/>
        <family val="2"/>
        <scheme val="none"/>
      </font>
      <alignment horizontal="center" vertical="bottom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9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9"/>
        <color theme="0"/>
        <name val="Segoe UI"/>
        <family val="2"/>
        <scheme val="none"/>
      </font>
      <alignment horizontal="center" vertical="bottom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9"/>
        <color theme="0"/>
        <name val="Segoe UI"/>
        <family val="2"/>
        <scheme val="none"/>
      </font>
      <alignment horizontal="center" vertical="bottom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9"/>
        <color theme="0"/>
        <name val="Segoe UI"/>
        <family val="2"/>
        <scheme val="none"/>
      </font>
      <alignment horizontal="center" vertical="bottom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9"/>
        <color theme="0"/>
        <name val="Segoe UI"/>
        <family val="2"/>
        <scheme val="none"/>
      </font>
      <alignment horizontal="center" vertical="bottom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9"/>
        <color theme="0"/>
        <name val="Segoe UI"/>
        <family val="2"/>
        <scheme val="none"/>
      </font>
      <alignment horizontal="center" vertical="bottom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9"/>
        <color theme="0"/>
        <name val="Segoe UI"/>
        <family val="2"/>
        <scheme val="none"/>
      </font>
      <alignment horizontal="center" vertical="bottom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9"/>
        <color theme="0"/>
        <name val="Segoe UI"/>
        <family val="2"/>
        <scheme val="none"/>
      </font>
      <alignment horizontal="center" vertical="bottom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9"/>
        <color theme="0"/>
        <name val="Segoe UI"/>
        <family val="2"/>
        <scheme val="none"/>
      </font>
      <alignment horizontal="center" vertical="bottom" textRotation="0" wrapText="1" indent="0" justifyLastLine="0" shrinkToFit="0" readingOrder="0"/>
      <border diagonalUp="0" diagonalDown="0" outline="0">
        <left/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</border>
    </dxf>
    <dxf>
      <font>
        <strike val="0"/>
        <outline val="0"/>
        <shadow val="0"/>
        <u val="none"/>
        <vertAlign val="baseline"/>
        <color theme="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9"/>
        <color theme="0"/>
        <name val="Segoe UI"/>
        <family val="2"/>
        <scheme val="none"/>
      </font>
      <alignment horizontal="center" vertical="bottom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9"/>
        <color theme="0"/>
        <name val="Segoe UI"/>
        <family val="2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rgb="FF000000"/>
        </left>
        <right/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9"/>
        <color theme="0"/>
        <name val="Segoe UI"/>
        <family val="2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9"/>
        <color theme="0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9"/>
        <color theme="0"/>
        <name val="Segoe UI"/>
        <family val="2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9"/>
        <color theme="0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9"/>
        <color theme="0"/>
        <name val="Segoe UI"/>
        <family val="2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9"/>
        <color theme="0"/>
        <name val="Segoe UI"/>
        <family val="2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9"/>
        <color theme="0"/>
        <name val="Segoe UI"/>
        <family val="2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9"/>
        <color theme="0"/>
        <name val="Segoe UI"/>
        <family val="2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9"/>
        <color theme="0"/>
        <name val="Segoe UI"/>
        <family val="2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9"/>
        <color theme="0"/>
        <name val="Segoe UI"/>
        <family val="2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9"/>
        <color theme="0"/>
        <name val="Segoe UI"/>
        <family val="2"/>
        <scheme val="none"/>
      </font>
      <alignment horizontal="left" vertical="center" textRotation="0" wrapText="1" indent="0" justifyLastLine="0" shrinkToFit="0" readingOrder="0"/>
      <border diagonalUp="0" diagonalDown="0" outline="0">
        <left/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</border>
    </dxf>
    <dxf>
      <font>
        <strike val="0"/>
        <outline val="0"/>
        <shadow val="0"/>
        <u val="none"/>
        <vertAlign val="baseline"/>
        <color theme="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9"/>
        <color theme="0"/>
        <name val="Segoe UI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Segoe UI"/>
        <family val="2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rgb="FF000000"/>
        </left>
        <right/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Segoe UI"/>
        <family val="2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Segoe UI"/>
        <family val="2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Segoe UI"/>
        <family val="2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Segoe UI"/>
        <family val="2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Segoe UI"/>
        <family val="2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Segoe UI"/>
        <family val="2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Segoe UI"/>
        <family val="2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Segoe UI"/>
        <family val="2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Segoe UI"/>
        <family val="2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Segoe UI"/>
        <family val="2"/>
        <scheme val="none"/>
      </font>
      <alignment horizontal="left" vertical="center" textRotation="0" wrapText="1" indent="0" justifyLastLine="0" shrinkToFit="0" readingOrder="0"/>
      <border diagonalUp="0" diagonalDown="0" outline="0">
        <left/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</border>
    </dxf>
    <dxf>
      <font>
        <strike val="0"/>
        <outline val="0"/>
        <shadow val="0"/>
        <u val="none"/>
        <vertAlign val="baseline"/>
        <sz val="12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Segoe UI"/>
        <family val="2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Segoe UI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rgb="FF000000"/>
        </left>
        <right/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Segoe UI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Segoe UI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Segoe UI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Segoe UI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Segoe UI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Segoe UI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Segoe UI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Segoe UI"/>
        <scheme val="none"/>
      </font>
      <alignment horizontal="left" vertical="center" textRotation="0" wrapText="1" indent="0" justifyLastLine="0" shrinkToFit="0" readingOrder="0"/>
      <border diagonalUp="0" diagonalDown="0" outline="0">
        <left/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</border>
    </dxf>
    <dxf>
      <font>
        <strike val="0"/>
        <outline val="0"/>
        <shadow val="0"/>
        <u val="none"/>
        <vertAlign val="baseline"/>
        <sz val="1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Segoe UI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Segoe UI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rgb="FF000000"/>
        </left>
        <right/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Segoe UI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Segoe UI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Segoe UI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Segoe UI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Segoe UI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Segoe UI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Segoe UI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Segoe UI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Segoe UI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Segoe UI"/>
        <scheme val="none"/>
      </font>
      <alignment horizontal="left" vertical="center" textRotation="0" wrapText="1" indent="0" justifyLastLine="0" shrinkToFit="0" readingOrder="0"/>
      <border diagonalUp="0" diagonalDown="0" outline="0">
        <left/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</border>
    </dxf>
    <dxf>
      <font>
        <strike val="0"/>
        <outline val="0"/>
        <shadow val="0"/>
        <u val="none"/>
        <vertAlign val="baseline"/>
        <sz val="1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Segoe UI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font>
        <color rgb="FF006100"/>
      </font>
      <fill>
        <patternFill>
          <bgColor rgb="FFC6EF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Segoe UI"/>
        <family val="2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rgb="FF000000"/>
        </left>
        <right/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Segoe UI"/>
        <family val="2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Segoe UI"/>
        <family val="2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Segoe UI"/>
        <family val="2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Segoe UI"/>
        <family val="2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Segoe UI"/>
        <family val="2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Segoe UI"/>
        <family val="2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Segoe UI"/>
        <family val="2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Segoe UI"/>
        <family val="2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Segoe UI"/>
        <family val="2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Segoe UI"/>
        <family val="2"/>
        <scheme val="none"/>
      </font>
      <alignment horizontal="general" vertical="center" textRotation="0" wrapText="1" indent="0" justifyLastLine="0" shrinkToFit="0" readingOrder="0"/>
      <border diagonalUp="0" diagonalDown="0" outline="0">
        <left/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</border>
    </dxf>
    <dxf>
      <font>
        <strike val="0"/>
        <outline val="0"/>
        <shadow val="0"/>
        <u val="none"/>
        <vertAlign val="baseline"/>
        <sz val="1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Segoe UI"/>
        <family val="2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Segoe UI"/>
        <family val="2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rgb="FF000000"/>
        </left>
        <right/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Segoe UI"/>
        <family val="2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Segoe UI"/>
        <family val="2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Segoe UI"/>
        <family val="2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Segoe UI"/>
        <family val="2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Segoe UI"/>
        <family val="2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Segoe UI"/>
        <family val="2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Segoe UI"/>
        <family val="2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Segoe UI"/>
        <family val="2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Segoe UI"/>
        <family val="2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Segoe UI"/>
        <family val="2"/>
        <scheme val="none"/>
      </font>
      <alignment horizontal="general" vertical="center" textRotation="0" wrapText="1" indent="0" justifyLastLine="0" shrinkToFit="0" readingOrder="0"/>
      <border diagonalUp="0" diagonalDown="0" outline="0">
        <left/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</border>
    </dxf>
    <dxf>
      <font>
        <strike val="0"/>
        <outline val="0"/>
        <shadow val="0"/>
        <u val="none"/>
        <vertAlign val="baseline"/>
        <sz val="1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Segoe UI"/>
        <family val="2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Segoe UI"/>
        <family val="2"/>
        <scheme val="none"/>
      </font>
      <alignment horizontal="center" vertical="bottom" textRotation="0" wrapText="1" indent="0" justifyLastLine="0" shrinkToFit="0" readingOrder="0"/>
      <border diagonalUp="0" diagonalDown="0" outline="0">
        <left style="thin">
          <color rgb="FF000000"/>
        </left>
        <right/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Segoe UI"/>
        <family val="2"/>
        <scheme val="none"/>
      </font>
      <alignment horizontal="center" vertical="bottom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Segoe UI"/>
        <family val="2"/>
        <scheme val="none"/>
      </font>
      <alignment horizontal="center" vertical="bottom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Segoe UI"/>
        <family val="2"/>
        <scheme val="none"/>
      </font>
      <alignment horizontal="center" vertical="bottom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Segoe UI"/>
        <family val="2"/>
        <scheme val="none"/>
      </font>
      <alignment horizontal="center" vertical="bottom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Segoe UI"/>
        <family val="2"/>
        <scheme val="none"/>
      </font>
      <alignment horizontal="center" vertical="bottom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Segoe UI"/>
        <family val="2"/>
        <scheme val="none"/>
      </font>
      <alignment horizontal="center" vertical="bottom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Segoe UI"/>
        <family val="2"/>
        <scheme val="none"/>
      </font>
      <alignment horizontal="center" vertical="bottom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Segoe UI"/>
        <family val="2"/>
        <scheme val="none"/>
      </font>
      <alignment horizontal="center" vertical="bottom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Segoe UI"/>
        <family val="2"/>
        <scheme val="none"/>
      </font>
      <alignment horizontal="center" vertical="bottom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Segoe UI"/>
        <family val="2"/>
        <scheme val="none"/>
      </font>
      <alignment horizontal="center" vertical="bottom" textRotation="0" wrapText="1" indent="0" justifyLastLine="0" shrinkToFit="0" readingOrder="0"/>
      <border diagonalUp="0" diagonalDown="0" outline="0">
        <left/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</border>
    </dxf>
    <dxf>
      <font>
        <strike val="0"/>
        <outline val="0"/>
        <shadow val="0"/>
        <u val="none"/>
        <vertAlign val="baseline"/>
        <sz val="1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Segoe UI"/>
        <family val="2"/>
        <scheme val="none"/>
      </font>
      <alignment horizontal="center" vertical="bottom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Segoe UI"/>
        <family val="2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rgb="FF000000"/>
        </left>
        <right/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Segoe UI"/>
        <family val="2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Segoe UI"/>
        <family val="2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Segoe UI"/>
        <family val="2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Segoe UI"/>
        <family val="2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Segoe UI"/>
        <family val="2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Segoe UI"/>
        <family val="2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Segoe UI"/>
        <family val="2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Segoe UI"/>
        <family val="2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Segoe UI"/>
        <family val="2"/>
        <scheme val="none"/>
      </font>
      <alignment horizontal="left" vertical="center" textRotation="0" wrapText="1" indent="0" justifyLastLine="0" shrinkToFit="0" readingOrder="0"/>
      <border diagonalUp="0" diagonalDown="0" outline="0">
        <left/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</border>
    </dxf>
    <dxf>
      <font>
        <strike val="0"/>
        <outline val="0"/>
        <shadow val="0"/>
        <u val="none"/>
        <vertAlign val="baseline"/>
        <sz val="1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Segoe UI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Segoe UI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</font>
      <numFmt numFmtId="1" formatCode="0"/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Segoe UI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</font>
      <numFmt numFmtId="1" formatCode="0"/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Segoe UI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Segoe UI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Segoe UI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Segoe UI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Segoe UI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Segoe UI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Segoe UI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Segoe UI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thin">
          <color rgb="FF000000"/>
        </left>
        <right style="thin">
          <color rgb="FF000000"/>
        </right>
      </border>
    </dxf>
    <dxf>
      <font>
        <strike val="0"/>
        <outline val="0"/>
        <shadow val="0"/>
        <u val="none"/>
        <vertAlign val="baseline"/>
        <sz val="1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Segoe UI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99FF66"/>
      <color rgb="FF0D50D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r>
              <a:rPr lang="fi-FI"/>
              <a:t>Hiilitase [tCO2]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bar"/>
        <c:grouping val="stack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Hiilitaselaskuri!$A$20:$A$28</c:f>
              <c:strCache>
                <c:ptCount val="9"/>
                <c:pt idx="0">
                  <c:v>Ulkoseinä:</c:v>
                </c:pt>
                <c:pt idx="1">
                  <c:v>Välipohja:</c:v>
                </c:pt>
                <c:pt idx="2">
                  <c:v>Yläpohja:</c:v>
                </c:pt>
                <c:pt idx="3">
                  <c:v>Katto:</c:v>
                </c:pt>
                <c:pt idx="4">
                  <c:v>Väliseinä:</c:v>
                </c:pt>
                <c:pt idx="5">
                  <c:v>Alapohja:</c:v>
                </c:pt>
                <c:pt idx="6">
                  <c:v>Kellari:</c:v>
                </c:pt>
                <c:pt idx="7">
                  <c:v>VSS:</c:v>
                </c:pt>
                <c:pt idx="8">
                  <c:v>Kivijalka:</c:v>
                </c:pt>
              </c:strCache>
            </c:strRef>
          </c:cat>
          <c:val>
            <c:numRef>
              <c:f>Hiilitaselaskuri!$G$20:$G$28</c:f>
              <c:numCache>
                <c:formatCode>0.0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C6-4E51-9BDA-89FEA0DD5E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728803032"/>
        <c:axId val="728803360"/>
        <c:axId val="0"/>
      </c:bar3DChart>
      <c:catAx>
        <c:axId val="72880303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728803360"/>
        <c:crosses val="autoZero"/>
        <c:auto val="1"/>
        <c:lblAlgn val="ctr"/>
        <c:lblOffset val="100"/>
        <c:noMultiLvlLbl val="0"/>
      </c:catAx>
      <c:valAx>
        <c:axId val="7288033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7288030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blipFill>
      <a:blip xmlns:r="http://schemas.openxmlformats.org/officeDocument/2006/relationships" r:embed="rId3"/>
      <a:stretch>
        <a:fillRect/>
      </a:stretch>
    </a:blip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bg1"/>
          </a:solidFill>
        </a:defRPr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/>
              <a:t>CLT [tCO</a:t>
            </a:r>
            <a:r>
              <a:rPr lang="fi-FI" baseline="-25000"/>
              <a:t>2</a:t>
            </a:r>
            <a:r>
              <a:rPr lang="fi-FI" baseline="0"/>
              <a:t>]</a:t>
            </a:r>
            <a:endParaRPr lang="fi-FI" baseline="-250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Tulokset!$D$70</c:f>
              <c:strCache>
                <c:ptCount val="1"/>
                <c:pt idx="0">
                  <c:v>Hiilijalanjälki [tCO2]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Tulokset!$C$71:$C$75</c:f>
              <c:strCache>
                <c:ptCount val="5"/>
                <c:pt idx="0">
                  <c:v>CLT 80</c:v>
                </c:pt>
                <c:pt idx="1">
                  <c:v>CLT 120</c:v>
                </c:pt>
                <c:pt idx="2">
                  <c:v>CLT 200</c:v>
                </c:pt>
                <c:pt idx="3">
                  <c:v>CLT 300</c:v>
                </c:pt>
                <c:pt idx="4">
                  <c:v>CLT 400</c:v>
                </c:pt>
              </c:strCache>
            </c:strRef>
          </c:cat>
          <c:val>
            <c:numRef>
              <c:f>Tulokset!$D$71:$D$75</c:f>
              <c:numCache>
                <c:formatCode>0</c:formatCode>
                <c:ptCount val="5"/>
                <c:pt idx="0">
                  <c:v>7.9429999999999996</c:v>
                </c:pt>
                <c:pt idx="1">
                  <c:v>11.938000000000001</c:v>
                </c:pt>
                <c:pt idx="2">
                  <c:v>20.398</c:v>
                </c:pt>
                <c:pt idx="3">
                  <c:v>30.221</c:v>
                </c:pt>
                <c:pt idx="4">
                  <c:v>40.561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D8D-4E17-848F-B0D71247B8D1}"/>
            </c:ext>
          </c:extLst>
        </c:ser>
        <c:ser>
          <c:idx val="1"/>
          <c:order val="1"/>
          <c:tx>
            <c:strRef>
              <c:f>Tulokset!$E$70</c:f>
              <c:strCache>
                <c:ptCount val="1"/>
                <c:pt idx="0">
                  <c:v>Hiilikädenjälki [tCO2]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Tulokset!$C$71:$C$75</c:f>
              <c:strCache>
                <c:ptCount val="5"/>
                <c:pt idx="0">
                  <c:v>CLT 80</c:v>
                </c:pt>
                <c:pt idx="1">
                  <c:v>CLT 120</c:v>
                </c:pt>
                <c:pt idx="2">
                  <c:v>CLT 200</c:v>
                </c:pt>
                <c:pt idx="3">
                  <c:v>CLT 300</c:v>
                </c:pt>
                <c:pt idx="4">
                  <c:v>CLT 400</c:v>
                </c:pt>
              </c:strCache>
            </c:strRef>
          </c:cat>
          <c:val>
            <c:numRef>
              <c:f>Tulokset!$E$71:$E$75</c:f>
              <c:numCache>
                <c:formatCode>0</c:formatCode>
                <c:ptCount val="5"/>
                <c:pt idx="0">
                  <c:v>63.543999999999997</c:v>
                </c:pt>
                <c:pt idx="1">
                  <c:v>95.504000000000005</c:v>
                </c:pt>
                <c:pt idx="2">
                  <c:v>163.184</c:v>
                </c:pt>
                <c:pt idx="3">
                  <c:v>241.768</c:v>
                </c:pt>
                <c:pt idx="4">
                  <c:v>324.488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D8D-4E17-848F-B0D71247B8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684041376"/>
        <c:axId val="684044656"/>
      </c:barChart>
      <c:catAx>
        <c:axId val="68404137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684044656"/>
        <c:crosses val="autoZero"/>
        <c:auto val="1"/>
        <c:lblAlgn val="ctr"/>
        <c:lblOffset val="100"/>
        <c:noMultiLvlLbl val="0"/>
      </c:catAx>
      <c:valAx>
        <c:axId val="6840446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6840413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/>
              <a:t>Ulkoseinät [tCO</a:t>
            </a:r>
            <a:r>
              <a:rPr lang="fi-FI" baseline="-25000"/>
              <a:t>2</a:t>
            </a:r>
            <a:r>
              <a:rPr lang="fi-FI"/>
              <a:t>]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solidFill>
          <a:srgbClr val="0D50D7"/>
        </a:solidFill>
        <a:ln>
          <a:noFill/>
        </a:ln>
        <a:effectLst/>
        <a:sp3d/>
      </c:spPr>
    </c:sideWall>
    <c:backWall>
      <c:thickness val="0"/>
      <c:spPr>
        <a:solidFill>
          <a:srgbClr val="0D50D7"/>
        </a:solidFill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152755905511811"/>
          <c:y val="0.17171296296296296"/>
          <c:w val="0.83516885389326334"/>
          <c:h val="0.65665099154272388"/>
        </c:manualLayout>
      </c:layout>
      <c:bar3DChart>
        <c:barDir val="bar"/>
        <c:grouping val="clustered"/>
        <c:varyColors val="0"/>
        <c:ser>
          <c:idx val="3"/>
          <c:order val="3"/>
          <c:tx>
            <c:strRef>
              <c:f>Tulokset!$D$70</c:f>
              <c:strCache>
                <c:ptCount val="1"/>
                <c:pt idx="0">
                  <c:v>Hiilijalanjälki [tCO2]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  <a:effectLst/>
            <a:sp3d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Tulokset!$C$71:$C$75</c15:sqref>
                  </c15:fullRef>
                </c:ext>
              </c:extLst>
              <c:f>Tulokset!$C$72:$C$75</c:f>
              <c:strCache>
                <c:ptCount val="4"/>
                <c:pt idx="0">
                  <c:v>CLT 120</c:v>
                </c:pt>
                <c:pt idx="1">
                  <c:v>CLT 200</c:v>
                </c:pt>
                <c:pt idx="2">
                  <c:v>CLT 300</c:v>
                </c:pt>
                <c:pt idx="3">
                  <c:v>CLT 400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Tulokset!$D$71:$D$75</c15:sqref>
                  </c15:fullRef>
                </c:ext>
              </c:extLst>
              <c:f>Tulokset!$D$72:$D$75</c:f>
              <c:numCache>
                <c:formatCode>0</c:formatCode>
                <c:ptCount val="4"/>
                <c:pt idx="0">
                  <c:v>11.938000000000001</c:v>
                </c:pt>
                <c:pt idx="1">
                  <c:v>20.398</c:v>
                </c:pt>
                <c:pt idx="2">
                  <c:v>30.221</c:v>
                </c:pt>
                <c:pt idx="3">
                  <c:v>40.561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8EA-4AD5-85D9-FB4DA86D6CEF}"/>
            </c:ext>
          </c:extLst>
        </c:ser>
        <c:ser>
          <c:idx val="4"/>
          <c:order val="4"/>
          <c:tx>
            <c:strRef>
              <c:f>Tulokset!$E$70</c:f>
              <c:strCache>
                <c:ptCount val="1"/>
                <c:pt idx="0">
                  <c:v>Hiilikädenjälki [tCO2]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Tulokset!$C$71:$C$75</c15:sqref>
                  </c15:fullRef>
                </c:ext>
              </c:extLst>
              <c:f>Tulokset!$C$72:$C$75</c:f>
              <c:strCache>
                <c:ptCount val="4"/>
                <c:pt idx="0">
                  <c:v>CLT 120</c:v>
                </c:pt>
                <c:pt idx="1">
                  <c:v>CLT 200</c:v>
                </c:pt>
                <c:pt idx="2">
                  <c:v>CLT 300</c:v>
                </c:pt>
                <c:pt idx="3">
                  <c:v>CLT 400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Tulokset!$E$71:$E$75</c15:sqref>
                  </c15:fullRef>
                </c:ext>
              </c:extLst>
              <c:f>Tulokset!$E$72:$E$75</c:f>
              <c:numCache>
                <c:formatCode>0</c:formatCode>
                <c:ptCount val="4"/>
                <c:pt idx="0">
                  <c:v>95.504000000000005</c:v>
                </c:pt>
                <c:pt idx="1">
                  <c:v>163.184</c:v>
                </c:pt>
                <c:pt idx="2">
                  <c:v>241.768</c:v>
                </c:pt>
                <c:pt idx="3">
                  <c:v>324.488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8EA-4AD5-85D9-FB4DA86D6C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66823840"/>
        <c:axId val="666831056"/>
        <c:axId val="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v>CO2</c:v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  <a:sp3d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'Krstalo CLT80'!$B$7:$B$13</c15:sqref>
                        </c15:fullRef>
                        <c15:formulaRef>
                          <c15:sqref>'Krstalo CLT80'!$B$8:$B$13</c15:sqref>
                        </c15:formulaRef>
                      </c:ext>
                    </c:extLst>
                    <c:strCache>
                      <c:ptCount val="6"/>
                      <c:pt idx="0">
                        <c:v>CLT120</c:v>
                      </c:pt>
                      <c:pt idx="1">
                        <c:v>CLT200</c:v>
                      </c:pt>
                      <c:pt idx="2">
                        <c:v>CLT300</c:v>
                      </c:pt>
                      <c:pt idx="3">
                        <c:v>CLT400</c:v>
                      </c:pt>
                      <c:pt idx="4">
                        <c:v>Ranka</c:v>
                      </c:pt>
                      <c:pt idx="5">
                        <c:v>TB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'Krstalo CLT80'!$C$7:$C$13</c15:sqref>
                        </c15:fullRef>
                        <c15:formulaRef>
                          <c15:sqref>'Krstalo CLT80'!$C$8:$C$13</c15:sqref>
                        </c15:formulaRef>
                      </c:ext>
                    </c:extLst>
                    <c:numCache>
                      <c:formatCode>General</c:formatCode>
                      <c:ptCount val="6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48EA-4AD5-85D9-FB4DA86D6CEF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v>Hiilijalanjälki</c:v>
                </c:tx>
                <c:spPr>
                  <a:solidFill>
                    <a:schemeClr val="bg2">
                      <a:lumMod val="25000"/>
                    </a:schemeClr>
                  </a:solidFill>
                  <a:ln>
                    <a:noFill/>
                  </a:ln>
                  <a:effectLst/>
                  <a:sp3d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'Krstalo CLT80'!$B$7:$B$13</c15:sqref>
                        </c15:fullRef>
                        <c15:formulaRef>
                          <c15:sqref>'Krstalo CLT80'!$B$8:$B$13</c15:sqref>
                        </c15:formulaRef>
                      </c:ext>
                    </c:extLst>
                    <c:strCache>
                      <c:ptCount val="6"/>
                      <c:pt idx="0">
                        <c:v>CLT120</c:v>
                      </c:pt>
                      <c:pt idx="1">
                        <c:v>CLT200</c:v>
                      </c:pt>
                      <c:pt idx="2">
                        <c:v>CLT300</c:v>
                      </c:pt>
                      <c:pt idx="3">
                        <c:v>CLT400</c:v>
                      </c:pt>
                      <c:pt idx="4">
                        <c:v>Ranka</c:v>
                      </c:pt>
                      <c:pt idx="5">
                        <c:v>TB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'Krstalo CLT80'!$D$7:$D$13</c15:sqref>
                        </c15:fullRef>
                        <c15:formulaRef>
                          <c15:sqref>'Krstalo CLT80'!$D$8:$D$13</c15:sqref>
                        </c15:formulaRef>
                      </c:ext>
                    </c:extLst>
                    <c:numCache>
                      <c:formatCode>0</c:formatCode>
                      <c:ptCount val="6"/>
                      <c:pt idx="0">
                        <c:v>37.983959999999996</c:v>
                      </c:pt>
                      <c:pt idx="1">
                        <c:v>42.417960000000001</c:v>
                      </c:pt>
                      <c:pt idx="2">
                        <c:v>49.633209999999998</c:v>
                      </c:pt>
                      <c:pt idx="3">
                        <c:v>57.594209999999997</c:v>
                      </c:pt>
                      <c:pt idx="4">
                        <c:v>29.584401088</c:v>
                      </c:pt>
                      <c:pt idx="5">
                        <c:v>119.03816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0-48EA-4AD5-85D9-FB4DA86D6CEF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v>Hiilikädenjälki</c:v>
                </c:tx>
                <c:spPr>
                  <a:solidFill>
                    <a:schemeClr val="accent6">
                      <a:lumMod val="75000"/>
                    </a:schemeClr>
                  </a:solidFill>
                  <a:ln>
                    <a:noFill/>
                  </a:ln>
                  <a:effectLst/>
                  <a:sp3d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'Krstalo CLT80'!$B$7:$B$13</c15:sqref>
                        </c15:fullRef>
                        <c15:formulaRef>
                          <c15:sqref>'Krstalo CLT80'!$B$8:$B$13</c15:sqref>
                        </c15:formulaRef>
                      </c:ext>
                    </c:extLst>
                    <c:strCache>
                      <c:ptCount val="6"/>
                      <c:pt idx="0">
                        <c:v>CLT120</c:v>
                      </c:pt>
                      <c:pt idx="1">
                        <c:v>CLT200</c:v>
                      </c:pt>
                      <c:pt idx="2">
                        <c:v>CLT300</c:v>
                      </c:pt>
                      <c:pt idx="3">
                        <c:v>CLT400</c:v>
                      </c:pt>
                      <c:pt idx="4">
                        <c:v>Ranka</c:v>
                      </c:pt>
                      <c:pt idx="5">
                        <c:v>TB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'Krstalo CLT80'!$E$7:$E$13</c15:sqref>
                        </c15:fullRef>
                        <c15:formulaRef>
                          <c15:sqref>'Krstalo CLT80'!$E$8:$E$13</c15:sqref>
                        </c15:formulaRef>
                      </c:ext>
                    </c:extLst>
                    <c:numCache>
                      <c:formatCode>0</c:formatCode>
                      <c:ptCount val="6"/>
                      <c:pt idx="0">
                        <c:v>119.01439999999999</c:v>
                      </c:pt>
                      <c:pt idx="1">
                        <c:v>186.6944</c:v>
                      </c:pt>
                      <c:pt idx="2">
                        <c:v>265.27840000000003</c:v>
                      </c:pt>
                      <c:pt idx="3">
                        <c:v>347.9984</c:v>
                      </c:pt>
                      <c:pt idx="4">
                        <c:v>61.841249280000007</c:v>
                      </c:pt>
                      <c:pt idx="5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48EA-4AD5-85D9-FB4DA86D6CEF}"/>
                  </c:ext>
                </c:extLst>
              </c15:ser>
            </c15:filteredBarSeries>
          </c:ext>
        </c:extLst>
      </c:bar3DChart>
      <c:catAx>
        <c:axId val="66682384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666831056"/>
        <c:crosses val="autoZero"/>
        <c:auto val="1"/>
        <c:lblAlgn val="ctr"/>
        <c:lblOffset val="100"/>
        <c:noMultiLvlLbl val="0"/>
      </c:catAx>
      <c:valAx>
        <c:axId val="6668310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6668238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rgbClr val="FF0000"/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/>
              <a:t>Ulkoseinät [tCO</a:t>
            </a:r>
            <a:r>
              <a:rPr lang="fi-FI" baseline="-25000"/>
              <a:t>2</a:t>
            </a:r>
            <a:r>
              <a:rPr lang="fi-FI"/>
              <a:t>]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solidFill>
          <a:srgbClr val="0D50D7"/>
        </a:solidFill>
        <a:ln>
          <a:noFill/>
        </a:ln>
        <a:effectLst/>
        <a:sp3d/>
      </c:spPr>
    </c:sideWall>
    <c:backWall>
      <c:thickness val="0"/>
      <c:spPr>
        <a:solidFill>
          <a:srgbClr val="0D50D7"/>
        </a:solidFill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152755905511811"/>
          <c:y val="0.17171296296296296"/>
          <c:w val="0.83516885389326334"/>
          <c:h val="0.65665099154272388"/>
        </c:manualLayout>
      </c:layout>
      <c:bar3DChart>
        <c:barDir val="bar"/>
        <c:grouping val="clustered"/>
        <c:varyColors val="0"/>
        <c:ser>
          <c:idx val="1"/>
          <c:order val="1"/>
          <c:tx>
            <c:v>Hiilijalanjälki</c:v>
          </c:tx>
          <c:spPr>
            <a:solidFill>
              <a:schemeClr val="bg2">
                <a:lumMod val="25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f>'Krstalo CLT80'!$B$7:$B$13</c:f>
              <c:strCache>
                <c:ptCount val="7"/>
                <c:pt idx="0">
                  <c:v>CLT80</c:v>
                </c:pt>
                <c:pt idx="1">
                  <c:v>CLT120</c:v>
                </c:pt>
                <c:pt idx="2">
                  <c:v>CLT200</c:v>
                </c:pt>
                <c:pt idx="3">
                  <c:v>CLT300</c:v>
                </c:pt>
                <c:pt idx="4">
                  <c:v>CLT400</c:v>
                </c:pt>
                <c:pt idx="5">
                  <c:v>Ranka</c:v>
                </c:pt>
                <c:pt idx="6">
                  <c:v>TB</c:v>
                </c:pt>
              </c:strCache>
            </c:strRef>
          </c:cat>
          <c:val>
            <c:numRef>
              <c:f>'Krstalo CLT80'!$D$7:$D$13</c:f>
              <c:numCache>
                <c:formatCode>0</c:formatCode>
                <c:ptCount val="7"/>
                <c:pt idx="0">
                  <c:v>33.988959999999999</c:v>
                </c:pt>
                <c:pt idx="1">
                  <c:v>37.983959999999996</c:v>
                </c:pt>
                <c:pt idx="2">
                  <c:v>42.417960000000001</c:v>
                </c:pt>
                <c:pt idx="3">
                  <c:v>49.633209999999998</c:v>
                </c:pt>
                <c:pt idx="4">
                  <c:v>57.594209999999997</c:v>
                </c:pt>
                <c:pt idx="5">
                  <c:v>29.584401088</c:v>
                </c:pt>
                <c:pt idx="6">
                  <c:v>119.03816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597-461D-A8C2-7548A412F5C3}"/>
            </c:ext>
          </c:extLst>
        </c:ser>
        <c:ser>
          <c:idx val="2"/>
          <c:order val="2"/>
          <c:tx>
            <c:v>Hiilikädenjälki</c:v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f>'Krstalo CLT80'!$B$7:$B$13</c:f>
              <c:strCache>
                <c:ptCount val="7"/>
                <c:pt idx="0">
                  <c:v>CLT80</c:v>
                </c:pt>
                <c:pt idx="1">
                  <c:v>CLT120</c:v>
                </c:pt>
                <c:pt idx="2">
                  <c:v>CLT200</c:v>
                </c:pt>
                <c:pt idx="3">
                  <c:v>CLT300</c:v>
                </c:pt>
                <c:pt idx="4">
                  <c:v>CLT400</c:v>
                </c:pt>
                <c:pt idx="5">
                  <c:v>Ranka</c:v>
                </c:pt>
                <c:pt idx="6">
                  <c:v>TB</c:v>
                </c:pt>
              </c:strCache>
            </c:strRef>
          </c:cat>
          <c:val>
            <c:numRef>
              <c:f>'Krstalo CLT80'!$E$7:$E$13</c:f>
              <c:numCache>
                <c:formatCode>0</c:formatCode>
                <c:ptCount val="7"/>
                <c:pt idx="0">
                  <c:v>87.054400000000001</c:v>
                </c:pt>
                <c:pt idx="1">
                  <c:v>119.01439999999999</c:v>
                </c:pt>
                <c:pt idx="2">
                  <c:v>186.6944</c:v>
                </c:pt>
                <c:pt idx="3">
                  <c:v>265.27840000000003</c:v>
                </c:pt>
                <c:pt idx="4">
                  <c:v>347.9984</c:v>
                </c:pt>
                <c:pt idx="5">
                  <c:v>61.841249280000007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597-461D-A8C2-7548A412F5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66823840"/>
        <c:axId val="666831056"/>
        <c:axId val="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v>CO2</c:v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  <a:sp3d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'Krstalo CLT80'!$B$7:$B$13</c15:sqref>
                        </c15:formulaRef>
                      </c:ext>
                    </c:extLst>
                    <c:strCache>
                      <c:ptCount val="7"/>
                      <c:pt idx="0">
                        <c:v>CLT80</c:v>
                      </c:pt>
                      <c:pt idx="1">
                        <c:v>CLT120</c:v>
                      </c:pt>
                      <c:pt idx="2">
                        <c:v>CLT200</c:v>
                      </c:pt>
                      <c:pt idx="3">
                        <c:v>CLT300</c:v>
                      </c:pt>
                      <c:pt idx="4">
                        <c:v>CLT400</c:v>
                      </c:pt>
                      <c:pt idx="5">
                        <c:v>Ranka</c:v>
                      </c:pt>
                      <c:pt idx="6">
                        <c:v>TB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'Krstalo CLT80'!$C$7:$C$13</c15:sqref>
                        </c15:formulaRef>
                      </c:ext>
                    </c:extLst>
                    <c:numCache>
                      <c:formatCode>General</c:formatCode>
                      <c:ptCount val="7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1597-461D-A8C2-7548A412F5C3}"/>
                  </c:ext>
                </c:extLst>
              </c15:ser>
            </c15:filteredBarSeries>
          </c:ext>
        </c:extLst>
      </c:bar3DChart>
      <c:catAx>
        <c:axId val="66682384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666831056"/>
        <c:crosses val="autoZero"/>
        <c:auto val="1"/>
        <c:lblAlgn val="ctr"/>
        <c:lblOffset val="100"/>
        <c:noMultiLvlLbl val="0"/>
      </c:catAx>
      <c:valAx>
        <c:axId val="6668310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6668238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rgbClr val="FF0000"/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/>
              <a:t>Välipohjat [tCO</a:t>
            </a:r>
            <a:r>
              <a:rPr lang="fi-FI" baseline="-25000"/>
              <a:t>2</a:t>
            </a:r>
            <a:r>
              <a:rPr lang="fi-FI"/>
              <a:t>]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solidFill>
          <a:srgbClr val="0D50D7"/>
        </a:solidFill>
        <a:ln>
          <a:noFill/>
        </a:ln>
        <a:effectLst/>
        <a:sp3d/>
      </c:spPr>
    </c:sideWall>
    <c:backWall>
      <c:thickness val="0"/>
      <c:spPr>
        <a:solidFill>
          <a:srgbClr val="0D50D7"/>
        </a:solidFill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152755905511811"/>
          <c:y val="0.17171296296296296"/>
          <c:w val="0.83516885389326334"/>
          <c:h val="0.65665099154272388"/>
        </c:manualLayout>
      </c:layout>
      <c:bar3DChart>
        <c:barDir val="bar"/>
        <c:grouping val="clustered"/>
        <c:varyColors val="0"/>
        <c:ser>
          <c:idx val="1"/>
          <c:order val="1"/>
          <c:tx>
            <c:v>Hiilijalanjälki</c:v>
          </c:tx>
          <c:spPr>
            <a:solidFill>
              <a:schemeClr val="bg2">
                <a:lumMod val="25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('Krstalo CLT80'!$B$7:$B$13,'Krstalo CLT80'!$B$15:$B$18)</c15:sqref>
                  </c15:fullRef>
                </c:ext>
              </c:extLst>
              <c:f>'Krstalo CLT80'!$B$15:$B$18</c:f>
              <c:strCache>
                <c:ptCount val="4"/>
                <c:pt idx="0">
                  <c:v>CLT80</c:v>
                </c:pt>
                <c:pt idx="1">
                  <c:v>CLT200</c:v>
                </c:pt>
                <c:pt idx="2">
                  <c:v>Ranka</c:v>
                </c:pt>
                <c:pt idx="3">
                  <c:v>TB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('Krstalo CLT80'!$D$7:$D$13,'Krstalo CLT80'!$D$15:$D$18)</c15:sqref>
                  </c15:fullRef>
                </c:ext>
              </c:extLst>
              <c:f>'Krstalo CLT80'!$D$15:$D$18</c:f>
              <c:numCache>
                <c:formatCode>0</c:formatCode>
                <c:ptCount val="4"/>
                <c:pt idx="0">
                  <c:v>179.57132800000002</c:v>
                </c:pt>
                <c:pt idx="1">
                  <c:v>94.338267999999999</c:v>
                </c:pt>
                <c:pt idx="2">
                  <c:v>191.73918</c:v>
                </c:pt>
                <c:pt idx="3">
                  <c:v>156.57023000000001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CA4-4ED8-B461-4D39DDE3552C}"/>
            </c:ext>
          </c:extLst>
        </c:ser>
        <c:ser>
          <c:idx val="2"/>
          <c:order val="2"/>
          <c:tx>
            <c:v>Hiilikädenjälki</c:v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('Krstalo CLT80'!$B$7:$B$13,'Krstalo CLT80'!$B$15:$B$18)</c15:sqref>
                  </c15:fullRef>
                </c:ext>
              </c:extLst>
              <c:f>'Krstalo CLT80'!$B$15:$B$18</c:f>
              <c:strCache>
                <c:ptCount val="4"/>
                <c:pt idx="0">
                  <c:v>CLT80</c:v>
                </c:pt>
                <c:pt idx="1">
                  <c:v>CLT200</c:v>
                </c:pt>
                <c:pt idx="2">
                  <c:v>Ranka</c:v>
                </c:pt>
                <c:pt idx="3">
                  <c:v>TB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('Krstalo CLT80'!$E$7:$E$13,'Krstalo CLT80'!$E$15:$E$18)</c15:sqref>
                  </c15:fullRef>
                </c:ext>
              </c:extLst>
              <c:f>'Krstalo CLT80'!$E$15:$E$18</c:f>
              <c:numCache>
                <c:formatCode>0</c:formatCode>
                <c:ptCount val="4"/>
                <c:pt idx="0">
                  <c:v>224.78110000000001</c:v>
                </c:pt>
                <c:pt idx="1">
                  <c:v>291.0992</c:v>
                </c:pt>
                <c:pt idx="2">
                  <c:v>115.1808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CA4-4ED8-B461-4D39DDE355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66823840"/>
        <c:axId val="666831056"/>
        <c:axId val="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v>CO2</c:v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  <a:sp3d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('Krstalo CLT80'!$B$7:$B$13,'Krstalo CLT80'!$B$15:$B$18)</c15:sqref>
                        </c15:fullRef>
                        <c15:formulaRef>
                          <c15:sqref>'Krstalo CLT80'!$B$15:$B$18</c15:sqref>
                        </c15:formulaRef>
                      </c:ext>
                    </c:extLst>
                    <c:strCache>
                      <c:ptCount val="4"/>
                      <c:pt idx="0">
                        <c:v>CLT80</c:v>
                      </c:pt>
                      <c:pt idx="1">
                        <c:v>CLT200</c:v>
                      </c:pt>
                      <c:pt idx="2">
                        <c:v>Ranka</c:v>
                      </c:pt>
                      <c:pt idx="3">
                        <c:v>TB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('Krstalo CLT80'!$C$7:$C$13,'Krstalo CLT80'!$C$15:$C$18)</c15:sqref>
                        </c15:fullRef>
                        <c15:formulaRef>
                          <c15:sqref>'Krstalo CLT80'!$C$15:$C$18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DCA4-4ED8-B461-4D39DDE3552C}"/>
                  </c:ext>
                </c:extLst>
              </c15:ser>
            </c15:filteredBarSeries>
          </c:ext>
        </c:extLst>
      </c:bar3DChart>
      <c:catAx>
        <c:axId val="66682384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666831056"/>
        <c:crosses val="autoZero"/>
        <c:auto val="1"/>
        <c:lblAlgn val="ctr"/>
        <c:lblOffset val="100"/>
        <c:noMultiLvlLbl val="0"/>
      </c:catAx>
      <c:valAx>
        <c:axId val="6668310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6668238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rgbClr val="FF0000"/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/>
              <a:t>Yläpohjat [tCO</a:t>
            </a:r>
            <a:r>
              <a:rPr lang="fi-FI" baseline="-25000"/>
              <a:t>2</a:t>
            </a:r>
            <a:r>
              <a:rPr lang="fi-FI"/>
              <a:t>]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solidFill>
          <a:srgbClr val="0D50D7"/>
        </a:solidFill>
        <a:ln>
          <a:noFill/>
        </a:ln>
        <a:effectLst/>
        <a:sp3d/>
      </c:spPr>
    </c:sideWall>
    <c:backWall>
      <c:thickness val="0"/>
      <c:spPr>
        <a:solidFill>
          <a:srgbClr val="0D50D7"/>
        </a:solidFill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152755905511811"/>
          <c:y val="0.17171296296296296"/>
          <c:w val="0.83516885389326334"/>
          <c:h val="0.65665099154272388"/>
        </c:manualLayout>
      </c:layout>
      <c:bar3DChart>
        <c:barDir val="bar"/>
        <c:grouping val="clustered"/>
        <c:varyColors val="0"/>
        <c:ser>
          <c:idx val="1"/>
          <c:order val="1"/>
          <c:tx>
            <c:v>Hiilijalanjälki</c:v>
          </c:tx>
          <c:spPr>
            <a:solidFill>
              <a:schemeClr val="bg2">
                <a:lumMod val="25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('Krstalo CLT80'!$B$7:$B$13,'Krstalo CLT80'!$B$15:$B$18,'Krstalo CLT80'!$B$20:$B$23)</c15:sqref>
                  </c15:fullRef>
                </c:ext>
              </c:extLst>
              <c:f>'Krstalo CLT80'!$B$20:$B$23</c:f>
              <c:strCache>
                <c:ptCount val="4"/>
                <c:pt idx="0">
                  <c:v>CLT80</c:v>
                </c:pt>
                <c:pt idx="1">
                  <c:v>CLT200</c:v>
                </c:pt>
                <c:pt idx="2">
                  <c:v>Ranka</c:v>
                </c:pt>
                <c:pt idx="3">
                  <c:v>TB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('Krstalo CLT80'!$D$7:$D$13,'Krstalo CLT80'!$D$15:$D$18,'Krstalo CLT80'!$D$20:$D$23)</c15:sqref>
                  </c15:fullRef>
                </c:ext>
              </c:extLst>
              <c:f>'Krstalo CLT80'!$D$20:$D$23</c:f>
              <c:numCache>
                <c:formatCode>0</c:formatCode>
                <c:ptCount val="4"/>
                <c:pt idx="0">
                  <c:v>12.890049999999999</c:v>
                </c:pt>
                <c:pt idx="1">
                  <c:v>16.694500000000001</c:v>
                </c:pt>
                <c:pt idx="2">
                  <c:v>12.496162</c:v>
                </c:pt>
                <c:pt idx="3">
                  <c:v>17.222642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9F-4ACE-8C2F-F768E4E78168}"/>
            </c:ext>
          </c:extLst>
        </c:ser>
        <c:ser>
          <c:idx val="2"/>
          <c:order val="2"/>
          <c:tx>
            <c:v>Hiilikädenjälki</c:v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('Krstalo CLT80'!$B$7:$B$13,'Krstalo CLT80'!$B$15:$B$18,'Krstalo CLT80'!$B$20:$B$23)</c15:sqref>
                  </c15:fullRef>
                </c:ext>
              </c:extLst>
              <c:f>'Krstalo CLT80'!$B$20:$B$23</c:f>
              <c:strCache>
                <c:ptCount val="4"/>
                <c:pt idx="0">
                  <c:v>CLT80</c:v>
                </c:pt>
                <c:pt idx="1">
                  <c:v>CLT200</c:v>
                </c:pt>
                <c:pt idx="2">
                  <c:v>Ranka</c:v>
                </c:pt>
                <c:pt idx="3">
                  <c:v>TB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('Krstalo CLT80'!$E$7:$E$13,'Krstalo CLT80'!$E$15:$E$18,'Krstalo CLT80'!$E$20:$E$23)</c15:sqref>
                  </c15:fullRef>
                </c:ext>
              </c:extLst>
              <c:f>'Krstalo CLT80'!$E$20:$E$23</c:f>
              <c:numCache>
                <c:formatCode>0</c:formatCode>
                <c:ptCount val="4"/>
                <c:pt idx="0">
                  <c:v>26.019200000000001</c:v>
                </c:pt>
                <c:pt idx="1">
                  <c:v>65.048000000000002</c:v>
                </c:pt>
                <c:pt idx="2">
                  <c:v>8.1907200000000007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79F-4ACE-8C2F-F768E4E781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66823840"/>
        <c:axId val="666831056"/>
        <c:axId val="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v>CO2</c:v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  <a:sp3d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('Krstalo CLT80'!$B$7:$B$13,'Krstalo CLT80'!$B$15:$B$18,'Krstalo CLT80'!$B$20:$B$23)</c15:sqref>
                        </c15:fullRef>
                        <c15:formulaRef>
                          <c15:sqref>'Krstalo CLT80'!$B$20:$B$23</c15:sqref>
                        </c15:formulaRef>
                      </c:ext>
                    </c:extLst>
                    <c:strCache>
                      <c:ptCount val="4"/>
                      <c:pt idx="0">
                        <c:v>CLT80</c:v>
                      </c:pt>
                      <c:pt idx="1">
                        <c:v>CLT200</c:v>
                      </c:pt>
                      <c:pt idx="2">
                        <c:v>Ranka</c:v>
                      </c:pt>
                      <c:pt idx="3">
                        <c:v>TB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('Krstalo CLT80'!$C$7:$C$13,'Krstalo CLT80'!$C$15:$C$18,'Krstalo CLT80'!$C$20:$C$23)</c15:sqref>
                        </c15:fullRef>
                        <c15:formulaRef>
                          <c15:sqref>'Krstalo CLT80'!$C$20:$C$23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F79F-4ACE-8C2F-F768E4E78168}"/>
                  </c:ext>
                </c:extLst>
              </c15:ser>
            </c15:filteredBarSeries>
          </c:ext>
        </c:extLst>
      </c:bar3DChart>
      <c:catAx>
        <c:axId val="66682384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666831056"/>
        <c:crosses val="autoZero"/>
        <c:auto val="1"/>
        <c:lblAlgn val="ctr"/>
        <c:lblOffset val="100"/>
        <c:noMultiLvlLbl val="0"/>
      </c:catAx>
      <c:valAx>
        <c:axId val="6668310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6668238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rgbClr val="FF0000"/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/>
              <a:t>Kattomateriaali [tCO</a:t>
            </a:r>
            <a:r>
              <a:rPr lang="fi-FI" baseline="-25000"/>
              <a:t>2</a:t>
            </a:r>
            <a:r>
              <a:rPr lang="fi-FI"/>
              <a:t>]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solidFill>
          <a:srgbClr val="0D50D7"/>
        </a:solidFill>
        <a:ln>
          <a:noFill/>
        </a:ln>
        <a:effectLst/>
        <a:sp3d/>
      </c:spPr>
    </c:sideWall>
    <c:backWall>
      <c:thickness val="0"/>
      <c:spPr>
        <a:solidFill>
          <a:srgbClr val="0D50D7"/>
        </a:solidFill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152755905511811"/>
          <c:y val="0.17171296296296296"/>
          <c:w val="0.83516885389326334"/>
          <c:h val="0.65665099154272388"/>
        </c:manualLayout>
      </c:layout>
      <c:bar3DChart>
        <c:barDir val="bar"/>
        <c:grouping val="clustered"/>
        <c:varyColors val="0"/>
        <c:ser>
          <c:idx val="0"/>
          <c:order val="0"/>
          <c:tx>
            <c:v>CO2</c:v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('Krstalo CLT80'!$B$7:$B$13,'Krstalo CLT80'!$B$15:$B$18,'Krstalo CLT80'!$B$20:$B$23,'Krstalo CLT80'!$B$25:$B$28)</c15:sqref>
                  </c15:fullRef>
                </c:ext>
              </c:extLst>
              <c:f>'Krstalo CLT80'!$B$25:$B$28</c:f>
              <c:strCache>
                <c:ptCount val="4"/>
                <c:pt idx="0">
                  <c:v>Pelti</c:v>
                </c:pt>
                <c:pt idx="1">
                  <c:v>Bitumi</c:v>
                </c:pt>
                <c:pt idx="2">
                  <c:v>Kupari</c:v>
                </c:pt>
                <c:pt idx="3">
                  <c:v>Tiili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('Krstalo CLT80'!$C$7:$C$13,'Krstalo CLT80'!$C$15:$C$18,'Krstalo CLT80'!$C$20:$C$23,'Krstalo CLT80'!$C$25:$C$28)</c15:sqref>
                  </c15:fullRef>
                </c:ext>
              </c:extLst>
              <c:f>'Krstalo CLT80'!$C$25:$C$28</c:f>
              <c:numCache>
                <c:formatCode>General</c:formatCode>
                <c:ptCount val="4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2-847B-4373-9391-6A9011BA8E99}"/>
            </c:ext>
          </c:extLst>
        </c:ser>
        <c:ser>
          <c:idx val="1"/>
          <c:order val="1"/>
          <c:tx>
            <c:v>Hiilijalanjälki</c:v>
          </c:tx>
          <c:spPr>
            <a:solidFill>
              <a:schemeClr val="bg2">
                <a:lumMod val="25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('Krstalo CLT80'!$B$7:$B$13,'Krstalo CLT80'!$B$15:$B$18,'Krstalo CLT80'!$B$20:$B$23,'Krstalo CLT80'!$B$25:$B$28)</c15:sqref>
                  </c15:fullRef>
                </c:ext>
              </c:extLst>
              <c:f>'Krstalo CLT80'!$B$25:$B$28</c:f>
              <c:strCache>
                <c:ptCount val="4"/>
                <c:pt idx="0">
                  <c:v>Pelti</c:v>
                </c:pt>
                <c:pt idx="1">
                  <c:v>Bitumi</c:v>
                </c:pt>
                <c:pt idx="2">
                  <c:v>Kupari</c:v>
                </c:pt>
                <c:pt idx="3">
                  <c:v>Tiili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('Krstalo CLT80'!$D$7:$D$13,'Krstalo CLT80'!$D$15:$D$18,'Krstalo CLT80'!$D$20:$D$23,'Krstalo CLT80'!$D$25:$D$28)</c15:sqref>
                  </c15:fullRef>
                </c:ext>
              </c:extLst>
              <c:f>'Krstalo CLT80'!$D$25:$D$28</c:f>
              <c:numCache>
                <c:formatCode>0</c:formatCode>
                <c:ptCount val="4"/>
                <c:pt idx="0" formatCode="0.0">
                  <c:v>7.8114559999999997</c:v>
                </c:pt>
                <c:pt idx="1" formatCode="0.0">
                  <c:v>8.5969079999999991</c:v>
                </c:pt>
                <c:pt idx="2" formatCode="0.0">
                  <c:v>3.5019</c:v>
                </c:pt>
                <c:pt idx="3" formatCode="0.0">
                  <c:v>3.96252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7B-4373-9391-6A9011BA8E99}"/>
            </c:ext>
          </c:extLst>
        </c:ser>
        <c:ser>
          <c:idx val="2"/>
          <c:order val="2"/>
          <c:tx>
            <c:v>Hiilikädenjälki</c:v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('Krstalo CLT80'!$B$7:$B$13,'Krstalo CLT80'!$B$15:$B$18,'Krstalo CLT80'!$B$20:$B$23,'Krstalo CLT80'!$B$25:$B$28)</c15:sqref>
                  </c15:fullRef>
                </c:ext>
              </c:extLst>
              <c:f>'Krstalo CLT80'!$B$25:$B$28</c:f>
              <c:strCache>
                <c:ptCount val="4"/>
                <c:pt idx="0">
                  <c:v>Pelti</c:v>
                </c:pt>
                <c:pt idx="1">
                  <c:v>Bitumi</c:v>
                </c:pt>
                <c:pt idx="2">
                  <c:v>Kupari</c:v>
                </c:pt>
                <c:pt idx="3">
                  <c:v>Tiili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('Krstalo CLT80'!$E$7:$E$13,'Krstalo CLT80'!$E$15:$E$18,'Krstalo CLT80'!$E$20:$E$23,'Krstalo CLT80'!$E$25:$E$28)</c15:sqref>
                  </c15:fullRef>
                </c:ext>
              </c:extLst>
              <c:f>'Krstalo CLT80'!$E$25:$E$28</c:f>
              <c:numCache>
                <c:formatCode>0</c:formatCode>
                <c:ptCount val="4"/>
                <c:pt idx="0" formatCode="0.0">
                  <c:v>3.7414399999999999</c:v>
                </c:pt>
                <c:pt idx="1" formatCode="0.0">
                  <c:v>11.224320000000001</c:v>
                </c:pt>
                <c:pt idx="2" formatCode="0.0">
                  <c:v>5.6121600000000003</c:v>
                </c:pt>
                <c:pt idx="3" formatCode="0.0">
                  <c:v>4.5504000000000007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47B-4373-9391-6A9011BA8E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66823840"/>
        <c:axId val="666831056"/>
        <c:axId val="0"/>
        <c:extLst/>
      </c:bar3DChart>
      <c:catAx>
        <c:axId val="66682384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666831056"/>
        <c:crosses val="autoZero"/>
        <c:auto val="1"/>
        <c:lblAlgn val="ctr"/>
        <c:lblOffset val="100"/>
        <c:noMultiLvlLbl val="0"/>
      </c:catAx>
      <c:valAx>
        <c:axId val="6668310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6668238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rgbClr val="FF0000"/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/>
              <a:t>Väliseinät [tCO</a:t>
            </a:r>
            <a:r>
              <a:rPr lang="fi-FI" baseline="-25000"/>
              <a:t>2</a:t>
            </a:r>
            <a:r>
              <a:rPr lang="fi-FI"/>
              <a:t>]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solidFill>
          <a:srgbClr val="0D50D7"/>
        </a:solidFill>
        <a:ln>
          <a:noFill/>
        </a:ln>
        <a:effectLst/>
        <a:sp3d/>
      </c:spPr>
    </c:sideWall>
    <c:backWall>
      <c:thickness val="0"/>
      <c:spPr>
        <a:solidFill>
          <a:srgbClr val="0D50D7"/>
        </a:solidFill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152755905511811"/>
          <c:y val="0.17171296296296296"/>
          <c:w val="0.83516885389326334"/>
          <c:h val="0.65665099154272388"/>
        </c:manualLayout>
      </c:layout>
      <c:bar3DChart>
        <c:barDir val="bar"/>
        <c:grouping val="clustered"/>
        <c:varyColors val="0"/>
        <c:ser>
          <c:idx val="0"/>
          <c:order val="0"/>
          <c:tx>
            <c:v>CO2</c:v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('Krstalo CLT80'!$B$7:$B$13,'Krstalo CLT80'!$B$15:$B$18,'Krstalo CLT80'!$B$20:$B$23,'Krstalo CLT80'!$B$25:$B$28,'Krstalo CLT80'!$B$30:$B$33)</c15:sqref>
                  </c15:fullRef>
                </c:ext>
              </c:extLst>
              <c:f>'Krstalo CLT80'!$B$30:$B$33</c:f>
              <c:strCache>
                <c:ptCount val="4"/>
                <c:pt idx="0">
                  <c:v>CLT80</c:v>
                </c:pt>
                <c:pt idx="1">
                  <c:v>CLT100</c:v>
                </c:pt>
                <c:pt idx="2">
                  <c:v>Ranka</c:v>
                </c:pt>
                <c:pt idx="3">
                  <c:v>TB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('Krstalo CLT80'!$C$7:$C$13,'Krstalo CLT80'!$C$15:$C$18,'Krstalo CLT80'!$C$20:$C$23,'Krstalo CLT80'!$C$25:$C$28,'Krstalo CLT80'!$C$30:$C$33)</c15:sqref>
                  </c15:fullRef>
                </c:ext>
              </c:extLst>
              <c:f>'Krstalo CLT80'!$C$30:$C$33</c:f>
              <c:numCache>
                <c:formatCode>General</c:formatCode>
                <c:ptCount val="4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2-EC98-402E-A03C-CB674B8863DC}"/>
            </c:ext>
          </c:extLst>
        </c:ser>
        <c:ser>
          <c:idx val="1"/>
          <c:order val="1"/>
          <c:tx>
            <c:v>Hiilijalanjälki</c:v>
          </c:tx>
          <c:spPr>
            <a:solidFill>
              <a:schemeClr val="bg2">
                <a:lumMod val="25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('Krstalo CLT80'!$B$7:$B$13,'Krstalo CLT80'!$B$15:$B$18,'Krstalo CLT80'!$B$20:$B$23,'Krstalo CLT80'!$B$25:$B$28,'Krstalo CLT80'!$B$30:$B$33)</c15:sqref>
                  </c15:fullRef>
                </c:ext>
              </c:extLst>
              <c:f>'Krstalo CLT80'!$B$30:$B$33</c:f>
              <c:strCache>
                <c:ptCount val="4"/>
                <c:pt idx="0">
                  <c:v>CLT80</c:v>
                </c:pt>
                <c:pt idx="1">
                  <c:v>CLT100</c:v>
                </c:pt>
                <c:pt idx="2">
                  <c:v>Ranka</c:v>
                </c:pt>
                <c:pt idx="3">
                  <c:v>TB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('Krstalo CLT80'!$D$7:$D$13,'Krstalo CLT80'!$D$15:$D$18,'Krstalo CLT80'!$D$20:$D$23,'Krstalo CLT80'!$D$25:$D$28,'Krstalo CLT80'!$D$30:$D$33)</c15:sqref>
                  </c15:fullRef>
                </c:ext>
              </c:extLst>
              <c:f>'Krstalo CLT80'!$D$30:$D$33</c:f>
              <c:numCache>
                <c:formatCode>0</c:formatCode>
                <c:ptCount val="4"/>
                <c:pt idx="0">
                  <c:v>54.719550000000005</c:v>
                </c:pt>
                <c:pt idx="1">
                  <c:v>61.815049999999999</c:v>
                </c:pt>
                <c:pt idx="2">
                  <c:v>48.892115149639686</c:v>
                </c:pt>
                <c:pt idx="3">
                  <c:v>262.02282500000001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98-402E-A03C-CB674B8863DC}"/>
            </c:ext>
          </c:extLst>
        </c:ser>
        <c:ser>
          <c:idx val="2"/>
          <c:order val="2"/>
          <c:tx>
            <c:v>Hiilikädenjälki</c:v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('Krstalo CLT80'!$B$7:$B$13,'Krstalo CLT80'!$B$15:$B$18,'Krstalo CLT80'!$B$20:$B$23,'Krstalo CLT80'!$B$25:$B$28,'Krstalo CLT80'!$B$30:$B$33)</c15:sqref>
                  </c15:fullRef>
                </c:ext>
              </c:extLst>
              <c:f>'Krstalo CLT80'!$B$30:$B$33</c:f>
              <c:strCache>
                <c:ptCount val="4"/>
                <c:pt idx="0">
                  <c:v>CLT80</c:v>
                </c:pt>
                <c:pt idx="1">
                  <c:v>CLT100</c:v>
                </c:pt>
                <c:pt idx="2">
                  <c:v>Ranka</c:v>
                </c:pt>
                <c:pt idx="3">
                  <c:v>TB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('Krstalo CLT80'!$E$7:$E$13,'Krstalo CLT80'!$E$15:$E$18,'Krstalo CLT80'!$E$20:$E$23,'Krstalo CLT80'!$E$25:$E$28,'Krstalo CLT80'!$E$30:$E$33)</c15:sqref>
                  </c15:fullRef>
                </c:ext>
              </c:extLst>
              <c:f>'Krstalo CLT80'!$E$30:$E$33</c:f>
              <c:numCache>
                <c:formatCode>0</c:formatCode>
                <c:ptCount val="4"/>
                <c:pt idx="0">
                  <c:v>153.93440000000001</c:v>
                </c:pt>
                <c:pt idx="1">
                  <c:v>190.7072</c:v>
                </c:pt>
                <c:pt idx="2">
                  <c:v>32.518457266176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C98-402E-A03C-CB674B8863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66823840"/>
        <c:axId val="666831056"/>
        <c:axId val="0"/>
        <c:extLst/>
      </c:bar3DChart>
      <c:catAx>
        <c:axId val="66682384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666831056"/>
        <c:crosses val="autoZero"/>
        <c:auto val="1"/>
        <c:lblAlgn val="ctr"/>
        <c:lblOffset val="100"/>
        <c:noMultiLvlLbl val="0"/>
      </c:catAx>
      <c:valAx>
        <c:axId val="6668310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6668238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rgbClr val="FF0000"/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/>
              <a:t>Maanalaiset</a:t>
            </a:r>
            <a:r>
              <a:rPr lang="fi-FI" baseline="0"/>
              <a:t> rakenteet</a:t>
            </a:r>
            <a:r>
              <a:rPr lang="fi-FI"/>
              <a:t> [tCO</a:t>
            </a:r>
            <a:r>
              <a:rPr lang="fi-FI" baseline="-25000"/>
              <a:t>2</a:t>
            </a:r>
            <a:r>
              <a:rPr lang="fi-FI"/>
              <a:t>]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solidFill>
          <a:srgbClr val="0D50D7"/>
        </a:solidFill>
        <a:ln>
          <a:noFill/>
        </a:ln>
        <a:effectLst/>
        <a:sp3d/>
      </c:spPr>
    </c:sideWall>
    <c:backWall>
      <c:thickness val="0"/>
      <c:spPr>
        <a:solidFill>
          <a:srgbClr val="0D50D7"/>
        </a:solidFill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152755905511811"/>
          <c:y val="0.17171296296296296"/>
          <c:w val="0.83516885389326334"/>
          <c:h val="0.65665099154272388"/>
        </c:manualLayout>
      </c:layout>
      <c:bar3DChart>
        <c:barDir val="bar"/>
        <c:grouping val="clustered"/>
        <c:varyColors val="0"/>
        <c:ser>
          <c:idx val="0"/>
          <c:order val="0"/>
          <c:tx>
            <c:v>CO2</c:v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('Krstalo CLT80'!$B$7:$B$13,'Krstalo CLT80'!$B$15:$B$18,'Krstalo CLT80'!$B$20:$B$23,'Krstalo CLT80'!$B$25:$B$28,'Krstalo CLT80'!$B$30:$B$33,'Krstalo CLT80'!$B$36:$B$39)</c15:sqref>
                  </c15:fullRef>
                </c:ext>
              </c:extLst>
              <c:f>'Krstalo CLT80'!$B$36:$B$39</c:f>
              <c:strCache>
                <c:ptCount val="4"/>
                <c:pt idx="0">
                  <c:v>Kellari</c:v>
                </c:pt>
                <c:pt idx="1">
                  <c:v>VSS</c:v>
                </c:pt>
                <c:pt idx="2">
                  <c:v>Alapohja</c:v>
                </c:pt>
                <c:pt idx="3">
                  <c:v>Kivijalka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('Krstalo CLT80'!$C$7:$C$13,'Krstalo CLT80'!$C$15:$C$18,'Krstalo CLT80'!$C$20:$C$23,'Krstalo CLT80'!$C$25:$C$28,'Krstalo CLT80'!$C$30:$C$33,'Krstalo CLT80'!$C$36:$C$39)</c15:sqref>
                  </c15:fullRef>
                </c:ext>
              </c:extLst>
              <c:f>'Krstalo CLT80'!$C$36:$C$39</c:f>
              <c:numCache>
                <c:formatCode>General</c:formatCode>
                <c:ptCount val="4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2-3E21-4643-97BD-0BAF943B55E5}"/>
            </c:ext>
          </c:extLst>
        </c:ser>
        <c:ser>
          <c:idx val="1"/>
          <c:order val="1"/>
          <c:tx>
            <c:v>Hiilijalanjälki</c:v>
          </c:tx>
          <c:spPr>
            <a:solidFill>
              <a:schemeClr val="bg2">
                <a:lumMod val="25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('Krstalo CLT80'!$B$7:$B$13,'Krstalo CLT80'!$B$15:$B$18,'Krstalo CLT80'!$B$20:$B$23,'Krstalo CLT80'!$B$25:$B$28,'Krstalo CLT80'!$B$30:$B$33,'Krstalo CLT80'!$B$36:$B$39)</c15:sqref>
                  </c15:fullRef>
                </c:ext>
              </c:extLst>
              <c:f>'Krstalo CLT80'!$B$36:$B$39</c:f>
              <c:strCache>
                <c:ptCount val="4"/>
                <c:pt idx="0">
                  <c:v>Kellari</c:v>
                </c:pt>
                <c:pt idx="1">
                  <c:v>VSS</c:v>
                </c:pt>
                <c:pt idx="2">
                  <c:v>Alapohja</c:v>
                </c:pt>
                <c:pt idx="3">
                  <c:v>Kivijalka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('Krstalo CLT80'!$D$7:$D$13,'Krstalo CLT80'!$D$15:$D$18,'Krstalo CLT80'!$D$20:$D$23,'Krstalo CLT80'!$D$25:$D$28,'Krstalo CLT80'!$D$30:$D$33,'Krstalo CLT80'!$D$36:$D$39)</c15:sqref>
                  </c15:fullRef>
                </c:ext>
              </c:extLst>
              <c:f>'Krstalo CLT80'!$D$36:$D$39</c:f>
              <c:numCache>
                <c:formatCode>0</c:formatCode>
                <c:ptCount val="4"/>
                <c:pt idx="0">
                  <c:v>83.238241000000002</c:v>
                </c:pt>
                <c:pt idx="1">
                  <c:v>25.042770000000004</c:v>
                </c:pt>
                <c:pt idx="2">
                  <c:v>20.855660000000004</c:v>
                </c:pt>
                <c:pt idx="3">
                  <c:v>35.746124999999999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21-4643-97BD-0BAF943B55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66823840"/>
        <c:axId val="666831056"/>
        <c:axId val="0"/>
        <c:extLst>
          <c:ext xmlns:c15="http://schemas.microsoft.com/office/drawing/2012/chart" uri="{02D57815-91ED-43cb-92C2-25804820EDAC}">
            <c15:filteredBarSeries>
              <c15:ser>
                <c:idx val="2"/>
                <c:order val="2"/>
                <c:tx>
                  <c:v>Hiilikädenjälki</c:v>
                </c:tx>
                <c:spPr>
                  <a:solidFill>
                    <a:schemeClr val="accent6">
                      <a:lumMod val="75000"/>
                    </a:schemeClr>
                  </a:solidFill>
                  <a:ln>
                    <a:noFill/>
                  </a:ln>
                  <a:effectLst/>
                  <a:sp3d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('Krstalo CLT80'!$B$7:$B$13,'Krstalo CLT80'!$B$15:$B$18,'Krstalo CLT80'!$B$20:$B$23,'Krstalo CLT80'!$B$25:$B$28,'Krstalo CLT80'!$B$30:$B$33,'Krstalo CLT80'!$B$36:$B$39)</c15:sqref>
                        </c15:fullRef>
                        <c15:formulaRef>
                          <c15:sqref>'Krstalo CLT80'!$B$36:$B$39</c15:sqref>
                        </c15:formulaRef>
                      </c:ext>
                    </c:extLst>
                    <c:strCache>
                      <c:ptCount val="4"/>
                      <c:pt idx="0">
                        <c:v>Kellari</c:v>
                      </c:pt>
                      <c:pt idx="1">
                        <c:v>VSS</c:v>
                      </c:pt>
                      <c:pt idx="2">
                        <c:v>Alapohja</c:v>
                      </c:pt>
                      <c:pt idx="3">
                        <c:v>Kivijalka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('Krstalo CLT80'!$E$7:$E$13,'Krstalo CLT80'!$E$15:$E$18,'Krstalo CLT80'!$E$20:$E$23,'Krstalo CLT80'!$E$25:$E$28,'Krstalo CLT80'!$E$30:$E$33)</c15:sqref>
                        </c15:fullRef>
                        <c15:formulaRef>
                          <c15:sqref/>
                        </c15:formulaRef>
                      </c:ext>
                    </c:extLst>
                    <c:numCache>
                      <c:formatCode>0</c:formatCode>
                      <c:ptCount val="0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3E21-4643-97BD-0BAF943B55E5}"/>
                  </c:ext>
                </c:extLst>
              </c15:ser>
            </c15:filteredBarSeries>
          </c:ext>
        </c:extLst>
      </c:bar3DChart>
      <c:catAx>
        <c:axId val="66682384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666831056"/>
        <c:crosses val="autoZero"/>
        <c:auto val="1"/>
        <c:lblAlgn val="ctr"/>
        <c:lblOffset val="100"/>
        <c:noMultiLvlLbl val="0"/>
      </c:catAx>
      <c:valAx>
        <c:axId val="6668310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6668238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rgbClr val="FF0000"/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/>
              <a:t>Ulkoseinät [tCO</a:t>
            </a:r>
            <a:r>
              <a:rPr lang="fi-FI" baseline="-25000"/>
              <a:t>2</a:t>
            </a:r>
            <a:r>
              <a:rPr lang="fi-FI"/>
              <a:t>]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solidFill>
          <a:srgbClr val="0D50D7"/>
        </a:solidFill>
        <a:ln>
          <a:noFill/>
        </a:ln>
        <a:effectLst/>
        <a:sp3d/>
      </c:spPr>
    </c:sideWall>
    <c:backWall>
      <c:thickness val="0"/>
      <c:spPr>
        <a:solidFill>
          <a:srgbClr val="0D50D7"/>
        </a:solidFill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152755905511811"/>
          <c:y val="0.17171296296296296"/>
          <c:w val="0.83516885389326334"/>
          <c:h val="0.65665099154272388"/>
        </c:manualLayout>
      </c:layout>
      <c:bar3DChart>
        <c:barDir val="bar"/>
        <c:grouping val="clustered"/>
        <c:varyColors val="0"/>
        <c:ser>
          <c:idx val="1"/>
          <c:order val="1"/>
          <c:tx>
            <c:v>Hiilijalanjälki</c:v>
          </c:tx>
          <c:spPr>
            <a:solidFill>
              <a:schemeClr val="bg2">
                <a:lumMod val="25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f>'Krstalo CLT80'!$B$7:$B$13</c:f>
              <c:strCache>
                <c:ptCount val="7"/>
                <c:pt idx="0">
                  <c:v>CLT80</c:v>
                </c:pt>
                <c:pt idx="1">
                  <c:v>CLT120</c:v>
                </c:pt>
                <c:pt idx="2">
                  <c:v>CLT200</c:v>
                </c:pt>
                <c:pt idx="3">
                  <c:v>CLT300</c:v>
                </c:pt>
                <c:pt idx="4">
                  <c:v>CLT400</c:v>
                </c:pt>
                <c:pt idx="5">
                  <c:v>Ranka</c:v>
                </c:pt>
                <c:pt idx="6">
                  <c:v>TB</c:v>
                </c:pt>
              </c:strCache>
            </c:strRef>
          </c:cat>
          <c:val>
            <c:numRef>
              <c:f>'Krstalo CLT80'!$D$7:$D$13</c:f>
              <c:numCache>
                <c:formatCode>0</c:formatCode>
                <c:ptCount val="7"/>
                <c:pt idx="0">
                  <c:v>33.988959999999999</c:v>
                </c:pt>
                <c:pt idx="1">
                  <c:v>37.983959999999996</c:v>
                </c:pt>
                <c:pt idx="2">
                  <c:v>42.417960000000001</c:v>
                </c:pt>
                <c:pt idx="3">
                  <c:v>49.633209999999998</c:v>
                </c:pt>
                <c:pt idx="4">
                  <c:v>57.594209999999997</c:v>
                </c:pt>
                <c:pt idx="5">
                  <c:v>29.584401088</c:v>
                </c:pt>
                <c:pt idx="6">
                  <c:v>119.03816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A1-48D5-9545-FDF6BA63F94A}"/>
            </c:ext>
          </c:extLst>
        </c:ser>
        <c:ser>
          <c:idx val="2"/>
          <c:order val="2"/>
          <c:tx>
            <c:v>Hiilikädenjälki</c:v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f>'Krstalo CLT80'!$B$7:$B$13</c:f>
              <c:strCache>
                <c:ptCount val="7"/>
                <c:pt idx="0">
                  <c:v>CLT80</c:v>
                </c:pt>
                <c:pt idx="1">
                  <c:v>CLT120</c:v>
                </c:pt>
                <c:pt idx="2">
                  <c:v>CLT200</c:v>
                </c:pt>
                <c:pt idx="3">
                  <c:v>CLT300</c:v>
                </c:pt>
                <c:pt idx="4">
                  <c:v>CLT400</c:v>
                </c:pt>
                <c:pt idx="5">
                  <c:v>Ranka</c:v>
                </c:pt>
                <c:pt idx="6">
                  <c:v>TB</c:v>
                </c:pt>
              </c:strCache>
            </c:strRef>
          </c:cat>
          <c:val>
            <c:numRef>
              <c:f>'Krstalo CLT80'!$E$7:$E$13</c:f>
              <c:numCache>
                <c:formatCode>0</c:formatCode>
                <c:ptCount val="7"/>
                <c:pt idx="0">
                  <c:v>87.054400000000001</c:v>
                </c:pt>
                <c:pt idx="1">
                  <c:v>119.01439999999999</c:v>
                </c:pt>
                <c:pt idx="2">
                  <c:v>186.6944</c:v>
                </c:pt>
                <c:pt idx="3">
                  <c:v>265.27840000000003</c:v>
                </c:pt>
                <c:pt idx="4">
                  <c:v>347.9984</c:v>
                </c:pt>
                <c:pt idx="5">
                  <c:v>61.841249280000007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5A1-48D5-9545-FDF6BA63F9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66823840"/>
        <c:axId val="666831056"/>
        <c:axId val="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v>CO2</c:v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  <a:sp3d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'Krstalo CLT80'!$B$7:$B$13</c15:sqref>
                        </c15:formulaRef>
                      </c:ext>
                    </c:extLst>
                    <c:strCache>
                      <c:ptCount val="7"/>
                      <c:pt idx="0">
                        <c:v>CLT80</c:v>
                      </c:pt>
                      <c:pt idx="1">
                        <c:v>CLT120</c:v>
                      </c:pt>
                      <c:pt idx="2">
                        <c:v>CLT200</c:v>
                      </c:pt>
                      <c:pt idx="3">
                        <c:v>CLT300</c:v>
                      </c:pt>
                      <c:pt idx="4">
                        <c:v>CLT400</c:v>
                      </c:pt>
                      <c:pt idx="5">
                        <c:v>Ranka</c:v>
                      </c:pt>
                      <c:pt idx="6">
                        <c:v>TB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'Krstalo CLT80'!$C$7:$C$13</c15:sqref>
                        </c15:formulaRef>
                      </c:ext>
                    </c:extLst>
                    <c:numCache>
                      <c:formatCode>General</c:formatCode>
                      <c:ptCount val="7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D5A1-48D5-9545-FDF6BA63F94A}"/>
                  </c:ext>
                </c:extLst>
              </c15:ser>
            </c15:filteredBarSeries>
          </c:ext>
        </c:extLst>
      </c:bar3DChart>
      <c:catAx>
        <c:axId val="66682384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666831056"/>
        <c:crosses val="autoZero"/>
        <c:auto val="1"/>
        <c:lblAlgn val="ctr"/>
        <c:lblOffset val="100"/>
        <c:noMultiLvlLbl val="0"/>
      </c:catAx>
      <c:valAx>
        <c:axId val="6668310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6668238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rgbClr val="FF0000"/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/>
              <a:t>Välipohjat [tCO</a:t>
            </a:r>
            <a:r>
              <a:rPr lang="fi-FI" baseline="-25000"/>
              <a:t>2</a:t>
            </a:r>
            <a:r>
              <a:rPr lang="fi-FI"/>
              <a:t>]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solidFill>
          <a:srgbClr val="0D50D7"/>
        </a:solidFill>
        <a:ln>
          <a:noFill/>
        </a:ln>
        <a:effectLst/>
        <a:sp3d/>
      </c:spPr>
    </c:sideWall>
    <c:backWall>
      <c:thickness val="0"/>
      <c:spPr>
        <a:solidFill>
          <a:srgbClr val="0D50D7"/>
        </a:solidFill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152755905511811"/>
          <c:y val="0.17171296296296296"/>
          <c:w val="0.83516885389326334"/>
          <c:h val="0.65665099154272388"/>
        </c:manualLayout>
      </c:layout>
      <c:bar3DChart>
        <c:barDir val="bar"/>
        <c:grouping val="clustered"/>
        <c:varyColors val="0"/>
        <c:ser>
          <c:idx val="1"/>
          <c:order val="1"/>
          <c:tx>
            <c:v>Hiilijalanjälki</c:v>
          </c:tx>
          <c:spPr>
            <a:solidFill>
              <a:schemeClr val="bg2">
                <a:lumMod val="25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('Krstalo CLT80'!$B$7:$B$13,'Krstalo CLT80'!$B$15:$B$18)</c15:sqref>
                  </c15:fullRef>
                </c:ext>
              </c:extLst>
              <c:f>'Krstalo CLT80'!$B$15:$B$18</c:f>
              <c:strCache>
                <c:ptCount val="4"/>
                <c:pt idx="0">
                  <c:v>CLT80</c:v>
                </c:pt>
                <c:pt idx="1">
                  <c:v>CLT200</c:v>
                </c:pt>
                <c:pt idx="2">
                  <c:v>Ranka</c:v>
                </c:pt>
                <c:pt idx="3">
                  <c:v>TB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('Krstalo CLT80'!$D$7:$D$13,'Krstalo CLT80'!$D$15:$D$18)</c15:sqref>
                  </c15:fullRef>
                </c:ext>
              </c:extLst>
              <c:f>'Krstalo CLT80'!$D$15:$D$18</c:f>
              <c:numCache>
                <c:formatCode>0</c:formatCode>
                <c:ptCount val="4"/>
                <c:pt idx="0">
                  <c:v>179.57132800000002</c:v>
                </c:pt>
                <c:pt idx="1">
                  <c:v>94.338267999999999</c:v>
                </c:pt>
                <c:pt idx="2">
                  <c:v>191.73918</c:v>
                </c:pt>
                <c:pt idx="3">
                  <c:v>156.57023000000001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5B-499C-8B37-E72B0E93130D}"/>
            </c:ext>
          </c:extLst>
        </c:ser>
        <c:ser>
          <c:idx val="2"/>
          <c:order val="2"/>
          <c:tx>
            <c:v>Hiilikädenjälki</c:v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('Krstalo CLT80'!$B$7:$B$13,'Krstalo CLT80'!$B$15:$B$18)</c15:sqref>
                  </c15:fullRef>
                </c:ext>
              </c:extLst>
              <c:f>'Krstalo CLT80'!$B$15:$B$18</c:f>
              <c:strCache>
                <c:ptCount val="4"/>
                <c:pt idx="0">
                  <c:v>CLT80</c:v>
                </c:pt>
                <c:pt idx="1">
                  <c:v>CLT200</c:v>
                </c:pt>
                <c:pt idx="2">
                  <c:v>Ranka</c:v>
                </c:pt>
                <c:pt idx="3">
                  <c:v>TB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('Krstalo CLT80'!$E$7:$E$13,'Krstalo CLT80'!$E$15:$E$18)</c15:sqref>
                  </c15:fullRef>
                </c:ext>
              </c:extLst>
              <c:f>'Krstalo CLT80'!$E$15:$E$18</c:f>
              <c:numCache>
                <c:formatCode>0</c:formatCode>
                <c:ptCount val="4"/>
                <c:pt idx="0">
                  <c:v>224.78110000000001</c:v>
                </c:pt>
                <c:pt idx="1">
                  <c:v>291.0992</c:v>
                </c:pt>
                <c:pt idx="2">
                  <c:v>115.1808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05B-499C-8B37-E72B0E9313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66823840"/>
        <c:axId val="666831056"/>
        <c:axId val="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v>CO2</c:v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  <a:sp3d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('Krstalo CLT80'!$B$7:$B$13,'Krstalo CLT80'!$B$15:$B$18)</c15:sqref>
                        </c15:fullRef>
                        <c15:formulaRef>
                          <c15:sqref>'Krstalo CLT80'!$B$15:$B$18</c15:sqref>
                        </c15:formulaRef>
                      </c:ext>
                    </c:extLst>
                    <c:strCache>
                      <c:ptCount val="4"/>
                      <c:pt idx="0">
                        <c:v>CLT80</c:v>
                      </c:pt>
                      <c:pt idx="1">
                        <c:v>CLT200</c:v>
                      </c:pt>
                      <c:pt idx="2">
                        <c:v>Ranka</c:v>
                      </c:pt>
                      <c:pt idx="3">
                        <c:v>TB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('Krstalo CLT80'!$C$7:$C$13,'Krstalo CLT80'!$C$15:$C$18)</c15:sqref>
                        </c15:fullRef>
                        <c15:formulaRef>
                          <c15:sqref>'Krstalo CLT80'!$C$15:$C$18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E05B-499C-8B37-E72B0E93130D}"/>
                  </c:ext>
                </c:extLst>
              </c15:ser>
            </c15:filteredBarSeries>
          </c:ext>
        </c:extLst>
      </c:bar3DChart>
      <c:catAx>
        <c:axId val="66682384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666831056"/>
        <c:crosses val="autoZero"/>
        <c:auto val="1"/>
        <c:lblAlgn val="ctr"/>
        <c:lblOffset val="100"/>
        <c:noMultiLvlLbl val="0"/>
      </c:catAx>
      <c:valAx>
        <c:axId val="6668310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6668238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rgbClr val="FF0000"/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/>
              <a:t>Yläpohjat [tCO</a:t>
            </a:r>
            <a:r>
              <a:rPr lang="fi-FI" baseline="-25000"/>
              <a:t>2</a:t>
            </a:r>
            <a:r>
              <a:rPr lang="fi-FI"/>
              <a:t>]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solidFill>
          <a:srgbClr val="0D50D7"/>
        </a:solidFill>
        <a:ln>
          <a:noFill/>
        </a:ln>
        <a:effectLst/>
        <a:sp3d/>
      </c:spPr>
    </c:sideWall>
    <c:backWall>
      <c:thickness val="0"/>
      <c:spPr>
        <a:solidFill>
          <a:srgbClr val="0D50D7"/>
        </a:solidFill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152755905511811"/>
          <c:y val="0.17171296296296296"/>
          <c:w val="0.83516885389326334"/>
          <c:h val="0.65665099154272388"/>
        </c:manualLayout>
      </c:layout>
      <c:bar3DChart>
        <c:barDir val="bar"/>
        <c:grouping val="clustered"/>
        <c:varyColors val="0"/>
        <c:ser>
          <c:idx val="1"/>
          <c:order val="1"/>
          <c:tx>
            <c:v>Hiilijalanjälki</c:v>
          </c:tx>
          <c:spPr>
            <a:solidFill>
              <a:schemeClr val="bg2">
                <a:lumMod val="25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('Krstalo CLT80'!$B$7:$B$13,'Krstalo CLT80'!$B$15:$B$18,'Krstalo CLT80'!$B$20:$B$23)</c15:sqref>
                  </c15:fullRef>
                </c:ext>
              </c:extLst>
              <c:f>'Krstalo CLT80'!$B$20:$B$23</c:f>
              <c:strCache>
                <c:ptCount val="4"/>
                <c:pt idx="0">
                  <c:v>CLT80</c:v>
                </c:pt>
                <c:pt idx="1">
                  <c:v>CLT200</c:v>
                </c:pt>
                <c:pt idx="2">
                  <c:v>Ranka</c:v>
                </c:pt>
                <c:pt idx="3">
                  <c:v>TB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('Krstalo CLT80'!$D$7:$D$13,'Krstalo CLT80'!$D$15:$D$18,'Krstalo CLT80'!$D$20:$D$23)</c15:sqref>
                  </c15:fullRef>
                </c:ext>
              </c:extLst>
              <c:f>'Krstalo CLT80'!$D$20:$D$23</c:f>
              <c:numCache>
                <c:formatCode>0</c:formatCode>
                <c:ptCount val="4"/>
                <c:pt idx="0">
                  <c:v>12.890049999999999</c:v>
                </c:pt>
                <c:pt idx="1">
                  <c:v>16.694500000000001</c:v>
                </c:pt>
                <c:pt idx="2">
                  <c:v>12.496162</c:v>
                </c:pt>
                <c:pt idx="3">
                  <c:v>17.222642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97-4790-A80F-1076B58A2546}"/>
            </c:ext>
          </c:extLst>
        </c:ser>
        <c:ser>
          <c:idx val="2"/>
          <c:order val="2"/>
          <c:tx>
            <c:v>Hiilikädenjälki</c:v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('Krstalo CLT80'!$B$7:$B$13,'Krstalo CLT80'!$B$15:$B$18,'Krstalo CLT80'!$B$20:$B$23)</c15:sqref>
                  </c15:fullRef>
                </c:ext>
              </c:extLst>
              <c:f>'Krstalo CLT80'!$B$20:$B$23</c:f>
              <c:strCache>
                <c:ptCount val="4"/>
                <c:pt idx="0">
                  <c:v>CLT80</c:v>
                </c:pt>
                <c:pt idx="1">
                  <c:v>CLT200</c:v>
                </c:pt>
                <c:pt idx="2">
                  <c:v>Ranka</c:v>
                </c:pt>
                <c:pt idx="3">
                  <c:v>TB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('Krstalo CLT80'!$E$7:$E$13,'Krstalo CLT80'!$E$15:$E$18,'Krstalo CLT80'!$E$20:$E$23)</c15:sqref>
                  </c15:fullRef>
                </c:ext>
              </c:extLst>
              <c:f>'Krstalo CLT80'!$E$20:$E$23</c:f>
              <c:numCache>
                <c:formatCode>0</c:formatCode>
                <c:ptCount val="4"/>
                <c:pt idx="0">
                  <c:v>26.019200000000001</c:v>
                </c:pt>
                <c:pt idx="1">
                  <c:v>65.048000000000002</c:v>
                </c:pt>
                <c:pt idx="2">
                  <c:v>8.1907200000000007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297-4790-A80F-1076B58A25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66823840"/>
        <c:axId val="666831056"/>
        <c:axId val="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v>CO2</c:v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  <a:sp3d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('Krstalo CLT80'!$B$7:$B$13,'Krstalo CLT80'!$B$15:$B$18,'Krstalo CLT80'!$B$20:$B$23)</c15:sqref>
                        </c15:fullRef>
                        <c15:formulaRef>
                          <c15:sqref>'Krstalo CLT80'!$B$20:$B$23</c15:sqref>
                        </c15:formulaRef>
                      </c:ext>
                    </c:extLst>
                    <c:strCache>
                      <c:ptCount val="4"/>
                      <c:pt idx="0">
                        <c:v>CLT80</c:v>
                      </c:pt>
                      <c:pt idx="1">
                        <c:v>CLT200</c:v>
                      </c:pt>
                      <c:pt idx="2">
                        <c:v>Ranka</c:v>
                      </c:pt>
                      <c:pt idx="3">
                        <c:v>TB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('Krstalo CLT80'!$C$7:$C$13,'Krstalo CLT80'!$C$15:$C$18,'Krstalo CLT80'!$C$20:$C$23)</c15:sqref>
                        </c15:fullRef>
                        <c15:formulaRef>
                          <c15:sqref>'Krstalo CLT80'!$C$20:$C$23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5297-4790-A80F-1076B58A2546}"/>
                  </c:ext>
                </c:extLst>
              </c15:ser>
            </c15:filteredBarSeries>
          </c:ext>
        </c:extLst>
      </c:bar3DChart>
      <c:catAx>
        <c:axId val="66682384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666831056"/>
        <c:crosses val="autoZero"/>
        <c:auto val="1"/>
        <c:lblAlgn val="ctr"/>
        <c:lblOffset val="100"/>
        <c:noMultiLvlLbl val="0"/>
      </c:catAx>
      <c:valAx>
        <c:axId val="6668310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6668238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rgbClr val="FF0000"/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/>
              <a:t>Kattomateriaali [tCO</a:t>
            </a:r>
            <a:r>
              <a:rPr lang="fi-FI" baseline="-25000"/>
              <a:t>2</a:t>
            </a:r>
            <a:r>
              <a:rPr lang="fi-FI"/>
              <a:t>]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solidFill>
          <a:srgbClr val="0D50D7"/>
        </a:solidFill>
        <a:ln>
          <a:noFill/>
        </a:ln>
        <a:effectLst/>
        <a:sp3d/>
      </c:spPr>
    </c:sideWall>
    <c:backWall>
      <c:thickness val="0"/>
      <c:spPr>
        <a:solidFill>
          <a:srgbClr val="0D50D7"/>
        </a:solidFill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152755905511811"/>
          <c:y val="0.17171296296296296"/>
          <c:w val="0.83516885389326334"/>
          <c:h val="0.65665099154272388"/>
        </c:manualLayout>
      </c:layout>
      <c:bar3DChart>
        <c:barDir val="bar"/>
        <c:grouping val="clustered"/>
        <c:varyColors val="0"/>
        <c:ser>
          <c:idx val="0"/>
          <c:order val="0"/>
          <c:tx>
            <c:v>CO2</c:v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('Krstalo CLT80'!$B$7:$B$13,'Krstalo CLT80'!$B$15:$B$18,'Krstalo CLT80'!$B$20:$B$23,'Krstalo CLT80'!$B$25:$B$28)</c15:sqref>
                  </c15:fullRef>
                </c:ext>
              </c:extLst>
              <c:f>'Krstalo CLT80'!$B$25:$B$28</c:f>
              <c:strCache>
                <c:ptCount val="4"/>
                <c:pt idx="0">
                  <c:v>Pelti</c:v>
                </c:pt>
                <c:pt idx="1">
                  <c:v>Bitumi</c:v>
                </c:pt>
                <c:pt idx="2">
                  <c:v>Kupari</c:v>
                </c:pt>
                <c:pt idx="3">
                  <c:v>Tiili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('Krstalo CLT80'!$C$7:$C$13,'Krstalo CLT80'!$C$15:$C$18,'Krstalo CLT80'!$C$20:$C$23,'Krstalo CLT80'!$C$25:$C$28)</c15:sqref>
                  </c15:fullRef>
                </c:ext>
              </c:extLst>
              <c:f>'Krstalo CLT80'!$C$25:$C$28</c:f>
              <c:numCache>
                <c:formatCode>General</c:formatCode>
                <c:ptCount val="4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2-4E8D-4145-93E2-8228612AC195}"/>
            </c:ext>
          </c:extLst>
        </c:ser>
        <c:ser>
          <c:idx val="1"/>
          <c:order val="1"/>
          <c:tx>
            <c:v>Hiilijalanjälki</c:v>
          </c:tx>
          <c:spPr>
            <a:solidFill>
              <a:schemeClr val="bg2">
                <a:lumMod val="25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('Krstalo CLT80'!$B$7:$B$13,'Krstalo CLT80'!$B$15:$B$18,'Krstalo CLT80'!$B$20:$B$23,'Krstalo CLT80'!$B$25:$B$28)</c15:sqref>
                  </c15:fullRef>
                </c:ext>
              </c:extLst>
              <c:f>'Krstalo CLT80'!$B$25:$B$28</c:f>
              <c:strCache>
                <c:ptCount val="4"/>
                <c:pt idx="0">
                  <c:v>Pelti</c:v>
                </c:pt>
                <c:pt idx="1">
                  <c:v>Bitumi</c:v>
                </c:pt>
                <c:pt idx="2">
                  <c:v>Kupari</c:v>
                </c:pt>
                <c:pt idx="3">
                  <c:v>Tiili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('Krstalo CLT80'!$D$7:$D$13,'Krstalo CLT80'!$D$15:$D$18,'Krstalo CLT80'!$D$20:$D$23,'Krstalo CLT80'!$D$25:$D$28)</c15:sqref>
                  </c15:fullRef>
                </c:ext>
              </c:extLst>
              <c:f>'Krstalo CLT80'!$D$25:$D$28</c:f>
              <c:numCache>
                <c:formatCode>0</c:formatCode>
                <c:ptCount val="4"/>
                <c:pt idx="0" formatCode="0.0">
                  <c:v>7.8114559999999997</c:v>
                </c:pt>
                <c:pt idx="1" formatCode="0.0">
                  <c:v>8.5969079999999991</c:v>
                </c:pt>
                <c:pt idx="2" formatCode="0.0">
                  <c:v>3.5019</c:v>
                </c:pt>
                <c:pt idx="3" formatCode="0.0">
                  <c:v>3.96252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8D-4145-93E2-8228612AC195}"/>
            </c:ext>
          </c:extLst>
        </c:ser>
        <c:ser>
          <c:idx val="2"/>
          <c:order val="2"/>
          <c:tx>
            <c:v>Hiilikädenjälki</c:v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('Krstalo CLT80'!$B$7:$B$13,'Krstalo CLT80'!$B$15:$B$18,'Krstalo CLT80'!$B$20:$B$23,'Krstalo CLT80'!$B$25:$B$28)</c15:sqref>
                  </c15:fullRef>
                </c:ext>
              </c:extLst>
              <c:f>'Krstalo CLT80'!$B$25:$B$28</c:f>
              <c:strCache>
                <c:ptCount val="4"/>
                <c:pt idx="0">
                  <c:v>Pelti</c:v>
                </c:pt>
                <c:pt idx="1">
                  <c:v>Bitumi</c:v>
                </c:pt>
                <c:pt idx="2">
                  <c:v>Kupari</c:v>
                </c:pt>
                <c:pt idx="3">
                  <c:v>Tiili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('Krstalo CLT80'!$E$7:$E$13,'Krstalo CLT80'!$E$15:$E$18,'Krstalo CLT80'!$E$20:$E$23,'Krstalo CLT80'!$E$25:$E$28)</c15:sqref>
                  </c15:fullRef>
                </c:ext>
              </c:extLst>
              <c:f>'Krstalo CLT80'!$E$25:$E$28</c:f>
              <c:numCache>
                <c:formatCode>0</c:formatCode>
                <c:ptCount val="4"/>
                <c:pt idx="0" formatCode="0.0">
                  <c:v>3.7414399999999999</c:v>
                </c:pt>
                <c:pt idx="1" formatCode="0.0">
                  <c:v>11.224320000000001</c:v>
                </c:pt>
                <c:pt idx="2" formatCode="0.0">
                  <c:v>5.6121600000000003</c:v>
                </c:pt>
                <c:pt idx="3" formatCode="0.0">
                  <c:v>4.5504000000000007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E8D-4145-93E2-8228612AC1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66823840"/>
        <c:axId val="666831056"/>
        <c:axId val="0"/>
        <c:extLst/>
      </c:bar3DChart>
      <c:catAx>
        <c:axId val="66682384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666831056"/>
        <c:crosses val="autoZero"/>
        <c:auto val="1"/>
        <c:lblAlgn val="ctr"/>
        <c:lblOffset val="100"/>
        <c:noMultiLvlLbl val="0"/>
      </c:catAx>
      <c:valAx>
        <c:axId val="6668310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6668238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rgbClr val="FF0000"/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/>
              <a:t>Väliseinät [tCO</a:t>
            </a:r>
            <a:r>
              <a:rPr lang="fi-FI" baseline="-25000"/>
              <a:t>2</a:t>
            </a:r>
            <a:r>
              <a:rPr lang="fi-FI"/>
              <a:t>]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solidFill>
          <a:srgbClr val="0D50D7"/>
        </a:solidFill>
        <a:ln>
          <a:noFill/>
        </a:ln>
        <a:effectLst/>
        <a:sp3d/>
      </c:spPr>
    </c:sideWall>
    <c:backWall>
      <c:thickness val="0"/>
      <c:spPr>
        <a:solidFill>
          <a:srgbClr val="0D50D7"/>
        </a:solidFill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152755905511811"/>
          <c:y val="0.17171296296296296"/>
          <c:w val="0.83516885389326334"/>
          <c:h val="0.65665099154272388"/>
        </c:manualLayout>
      </c:layout>
      <c:bar3DChart>
        <c:barDir val="bar"/>
        <c:grouping val="clustered"/>
        <c:varyColors val="0"/>
        <c:ser>
          <c:idx val="0"/>
          <c:order val="0"/>
          <c:tx>
            <c:v>CO2</c:v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('Krstalo CLT80'!$B$7:$B$13,'Krstalo CLT80'!$B$15:$B$18,'Krstalo CLT80'!$B$20:$B$23,'Krstalo CLT80'!$B$25:$B$28,'Krstalo CLT80'!$B$30:$B$33)</c15:sqref>
                  </c15:fullRef>
                </c:ext>
              </c:extLst>
              <c:f>'Krstalo CLT80'!$B$30:$B$33</c:f>
              <c:strCache>
                <c:ptCount val="4"/>
                <c:pt idx="0">
                  <c:v>CLT80</c:v>
                </c:pt>
                <c:pt idx="1">
                  <c:v>CLT100</c:v>
                </c:pt>
                <c:pt idx="2">
                  <c:v>Ranka</c:v>
                </c:pt>
                <c:pt idx="3">
                  <c:v>TB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('Krstalo CLT80'!$C$7:$C$13,'Krstalo CLT80'!$C$15:$C$18,'Krstalo CLT80'!$C$20:$C$23,'Krstalo CLT80'!$C$25:$C$28,'Krstalo CLT80'!$C$30:$C$33)</c15:sqref>
                  </c15:fullRef>
                </c:ext>
              </c:extLst>
              <c:f>'Krstalo CLT80'!$C$30:$C$33</c:f>
              <c:numCache>
                <c:formatCode>General</c:formatCode>
                <c:ptCount val="4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2-A517-4717-86AC-3D4AAC78EFA0}"/>
            </c:ext>
          </c:extLst>
        </c:ser>
        <c:ser>
          <c:idx val="1"/>
          <c:order val="1"/>
          <c:tx>
            <c:v>Hiilijalanjälki</c:v>
          </c:tx>
          <c:spPr>
            <a:solidFill>
              <a:schemeClr val="bg2">
                <a:lumMod val="25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('Krstalo CLT80'!$B$7:$B$13,'Krstalo CLT80'!$B$15:$B$18,'Krstalo CLT80'!$B$20:$B$23,'Krstalo CLT80'!$B$25:$B$28,'Krstalo CLT80'!$B$30:$B$33)</c15:sqref>
                  </c15:fullRef>
                </c:ext>
              </c:extLst>
              <c:f>'Krstalo CLT80'!$B$30:$B$33</c:f>
              <c:strCache>
                <c:ptCount val="4"/>
                <c:pt idx="0">
                  <c:v>CLT80</c:v>
                </c:pt>
                <c:pt idx="1">
                  <c:v>CLT100</c:v>
                </c:pt>
                <c:pt idx="2">
                  <c:v>Ranka</c:v>
                </c:pt>
                <c:pt idx="3">
                  <c:v>TB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('Krstalo CLT80'!$D$7:$D$13,'Krstalo CLT80'!$D$15:$D$18,'Krstalo CLT80'!$D$20:$D$23,'Krstalo CLT80'!$D$25:$D$28,'Krstalo CLT80'!$D$30:$D$33)</c15:sqref>
                  </c15:fullRef>
                </c:ext>
              </c:extLst>
              <c:f>'Krstalo CLT80'!$D$30:$D$33</c:f>
              <c:numCache>
                <c:formatCode>0</c:formatCode>
                <c:ptCount val="4"/>
                <c:pt idx="0">
                  <c:v>54.719550000000005</c:v>
                </c:pt>
                <c:pt idx="1">
                  <c:v>61.815049999999999</c:v>
                </c:pt>
                <c:pt idx="2">
                  <c:v>48.892115149639686</c:v>
                </c:pt>
                <c:pt idx="3">
                  <c:v>262.02282500000001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17-4717-86AC-3D4AAC78EFA0}"/>
            </c:ext>
          </c:extLst>
        </c:ser>
        <c:ser>
          <c:idx val="2"/>
          <c:order val="2"/>
          <c:tx>
            <c:v>Hiilikädenjälki</c:v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('Krstalo CLT80'!$B$7:$B$13,'Krstalo CLT80'!$B$15:$B$18,'Krstalo CLT80'!$B$20:$B$23,'Krstalo CLT80'!$B$25:$B$28,'Krstalo CLT80'!$B$30:$B$33)</c15:sqref>
                  </c15:fullRef>
                </c:ext>
              </c:extLst>
              <c:f>'Krstalo CLT80'!$B$30:$B$33</c:f>
              <c:strCache>
                <c:ptCount val="4"/>
                <c:pt idx="0">
                  <c:v>CLT80</c:v>
                </c:pt>
                <c:pt idx="1">
                  <c:v>CLT100</c:v>
                </c:pt>
                <c:pt idx="2">
                  <c:v>Ranka</c:v>
                </c:pt>
                <c:pt idx="3">
                  <c:v>TB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('Krstalo CLT80'!$E$7:$E$13,'Krstalo CLT80'!$E$15:$E$18,'Krstalo CLT80'!$E$20:$E$23,'Krstalo CLT80'!$E$25:$E$28,'Krstalo CLT80'!$E$30:$E$33)</c15:sqref>
                  </c15:fullRef>
                </c:ext>
              </c:extLst>
              <c:f>'Krstalo CLT80'!$E$30:$E$33</c:f>
              <c:numCache>
                <c:formatCode>0</c:formatCode>
                <c:ptCount val="4"/>
                <c:pt idx="0">
                  <c:v>153.93440000000001</c:v>
                </c:pt>
                <c:pt idx="1">
                  <c:v>190.7072</c:v>
                </c:pt>
                <c:pt idx="2">
                  <c:v>32.518457266176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517-4717-86AC-3D4AAC78EF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66823840"/>
        <c:axId val="666831056"/>
        <c:axId val="0"/>
        <c:extLst/>
      </c:bar3DChart>
      <c:catAx>
        <c:axId val="66682384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666831056"/>
        <c:crosses val="autoZero"/>
        <c:auto val="1"/>
        <c:lblAlgn val="ctr"/>
        <c:lblOffset val="100"/>
        <c:noMultiLvlLbl val="0"/>
      </c:catAx>
      <c:valAx>
        <c:axId val="6668310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6668238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rgbClr val="FF0000"/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/>
              <a:t>Maanalaiset</a:t>
            </a:r>
            <a:r>
              <a:rPr lang="fi-FI" baseline="0"/>
              <a:t> rakenteet</a:t>
            </a:r>
            <a:r>
              <a:rPr lang="fi-FI"/>
              <a:t> [tCO</a:t>
            </a:r>
            <a:r>
              <a:rPr lang="fi-FI" baseline="-25000"/>
              <a:t>2</a:t>
            </a:r>
            <a:r>
              <a:rPr lang="fi-FI"/>
              <a:t>]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solidFill>
          <a:srgbClr val="0D50D7"/>
        </a:solidFill>
        <a:ln>
          <a:noFill/>
        </a:ln>
        <a:effectLst/>
        <a:sp3d/>
      </c:spPr>
    </c:sideWall>
    <c:backWall>
      <c:thickness val="0"/>
      <c:spPr>
        <a:solidFill>
          <a:srgbClr val="0D50D7"/>
        </a:solidFill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152755905511811"/>
          <c:y val="0.17171296296296296"/>
          <c:w val="0.83516885389326334"/>
          <c:h val="0.65665099154272388"/>
        </c:manualLayout>
      </c:layout>
      <c:bar3DChart>
        <c:barDir val="bar"/>
        <c:grouping val="clustered"/>
        <c:varyColors val="0"/>
        <c:ser>
          <c:idx val="0"/>
          <c:order val="0"/>
          <c:tx>
            <c:v>CO2</c:v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('Krstalo CLT80'!$B$7:$B$13,'Krstalo CLT80'!$B$15:$B$18,'Krstalo CLT80'!$B$20:$B$23,'Krstalo CLT80'!$B$25:$B$28,'Krstalo CLT80'!$B$30:$B$33,'Krstalo CLT80'!$B$36:$B$39)</c15:sqref>
                  </c15:fullRef>
                </c:ext>
              </c:extLst>
              <c:f>'Krstalo CLT80'!$B$36:$B$39</c:f>
              <c:strCache>
                <c:ptCount val="4"/>
                <c:pt idx="0">
                  <c:v>Kellari</c:v>
                </c:pt>
                <c:pt idx="1">
                  <c:v>VSS</c:v>
                </c:pt>
                <c:pt idx="2">
                  <c:v>Alapohja</c:v>
                </c:pt>
                <c:pt idx="3">
                  <c:v>Kivijalka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('Krstalo CLT80'!$C$7:$C$13,'Krstalo CLT80'!$C$15:$C$18,'Krstalo CLT80'!$C$20:$C$23,'Krstalo CLT80'!$C$25:$C$28,'Krstalo CLT80'!$C$30:$C$33,'Krstalo CLT80'!$C$36:$C$39)</c15:sqref>
                  </c15:fullRef>
                </c:ext>
              </c:extLst>
              <c:f>'Krstalo CLT80'!$C$36:$C$39</c:f>
              <c:numCache>
                <c:formatCode>General</c:formatCode>
                <c:ptCount val="4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1-BE41-46A0-95AC-BE615FD527A0}"/>
            </c:ext>
          </c:extLst>
        </c:ser>
        <c:ser>
          <c:idx val="1"/>
          <c:order val="1"/>
          <c:tx>
            <c:v>Hiilijalanjälki</c:v>
          </c:tx>
          <c:spPr>
            <a:solidFill>
              <a:schemeClr val="bg2">
                <a:lumMod val="25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('Krstalo CLT80'!$B$7:$B$13,'Krstalo CLT80'!$B$15:$B$18,'Krstalo CLT80'!$B$20:$B$23,'Krstalo CLT80'!$B$25:$B$28,'Krstalo CLT80'!$B$30:$B$33,'Krstalo CLT80'!$B$36:$B$39)</c15:sqref>
                  </c15:fullRef>
                </c:ext>
              </c:extLst>
              <c:f>'Krstalo CLT80'!$B$36:$B$39</c:f>
              <c:strCache>
                <c:ptCount val="4"/>
                <c:pt idx="0">
                  <c:v>Kellari</c:v>
                </c:pt>
                <c:pt idx="1">
                  <c:v>VSS</c:v>
                </c:pt>
                <c:pt idx="2">
                  <c:v>Alapohja</c:v>
                </c:pt>
                <c:pt idx="3">
                  <c:v>Kivijalka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('Krstalo CLT80'!$D$7:$D$13,'Krstalo CLT80'!$D$15:$D$18,'Krstalo CLT80'!$D$20:$D$23,'Krstalo CLT80'!$D$25:$D$28,'Krstalo CLT80'!$D$30:$D$33,'Krstalo CLT80'!$D$36:$D$39)</c15:sqref>
                  </c15:fullRef>
                </c:ext>
              </c:extLst>
              <c:f>'Krstalo CLT80'!$D$36:$D$39</c:f>
              <c:numCache>
                <c:formatCode>0</c:formatCode>
                <c:ptCount val="4"/>
                <c:pt idx="0">
                  <c:v>83.238241000000002</c:v>
                </c:pt>
                <c:pt idx="1">
                  <c:v>25.042770000000004</c:v>
                </c:pt>
                <c:pt idx="2">
                  <c:v>20.855660000000004</c:v>
                </c:pt>
                <c:pt idx="3">
                  <c:v>35.746124999999999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41-46A0-95AC-BE615FD527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66823840"/>
        <c:axId val="666831056"/>
        <c:axId val="0"/>
        <c:extLst>
          <c:ext xmlns:c15="http://schemas.microsoft.com/office/drawing/2012/chart" uri="{02D57815-91ED-43cb-92C2-25804820EDAC}">
            <c15:filteredBarSeries>
              <c15:ser>
                <c:idx val="2"/>
                <c:order val="2"/>
                <c:tx>
                  <c:v>Hiilikädenjälki</c:v>
                </c:tx>
                <c:spPr>
                  <a:solidFill>
                    <a:schemeClr val="accent6">
                      <a:lumMod val="75000"/>
                    </a:schemeClr>
                  </a:solidFill>
                  <a:ln>
                    <a:noFill/>
                  </a:ln>
                  <a:effectLst/>
                  <a:sp3d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('Krstalo CLT80'!$B$7:$B$13,'Krstalo CLT80'!$B$15:$B$18,'Krstalo CLT80'!$B$20:$B$23,'Krstalo CLT80'!$B$25:$B$28,'Krstalo CLT80'!$B$30:$B$33,'Krstalo CLT80'!$B$36:$B$39)</c15:sqref>
                        </c15:fullRef>
                        <c15:formulaRef>
                          <c15:sqref>'Krstalo CLT80'!$B$36:$B$39</c15:sqref>
                        </c15:formulaRef>
                      </c:ext>
                    </c:extLst>
                    <c:strCache>
                      <c:ptCount val="4"/>
                      <c:pt idx="0">
                        <c:v>Kellari</c:v>
                      </c:pt>
                      <c:pt idx="1">
                        <c:v>VSS</c:v>
                      </c:pt>
                      <c:pt idx="2">
                        <c:v>Alapohja</c:v>
                      </c:pt>
                      <c:pt idx="3">
                        <c:v>Kivijalka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('Krstalo CLT80'!$E$7:$E$13,'Krstalo CLT80'!$E$15:$E$18,'Krstalo CLT80'!$E$20:$E$23,'Krstalo CLT80'!$E$25:$E$28,'Krstalo CLT80'!$E$30:$E$33)</c15:sqref>
                        </c15:fullRef>
                        <c15:formulaRef>
                          <c15:sqref/>
                        </c15:formulaRef>
                      </c:ext>
                    </c:extLst>
                    <c:numCache>
                      <c:formatCode>0</c:formatCode>
                      <c:ptCount val="0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BE41-46A0-95AC-BE615FD527A0}"/>
                  </c:ext>
                </c:extLst>
              </c15:ser>
            </c15:filteredBarSeries>
          </c:ext>
        </c:extLst>
      </c:bar3DChart>
      <c:catAx>
        <c:axId val="66682384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666831056"/>
        <c:crosses val="autoZero"/>
        <c:auto val="1"/>
        <c:lblAlgn val="ctr"/>
        <c:lblOffset val="100"/>
        <c:noMultiLvlLbl val="0"/>
      </c:catAx>
      <c:valAx>
        <c:axId val="6668310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6668238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rgbClr val="FF0000"/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/>
              <a:t>CLT [tCO</a:t>
            </a:r>
            <a:r>
              <a:rPr lang="fi-FI" baseline="-25000"/>
              <a:t>2</a:t>
            </a:r>
            <a:r>
              <a:rPr lang="fi-FI"/>
              <a:t>]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solidFill>
          <a:srgbClr val="0D50D7"/>
        </a:solidFill>
        <a:ln>
          <a:noFill/>
        </a:ln>
        <a:effectLst/>
        <a:sp3d/>
      </c:spPr>
    </c:sideWall>
    <c:backWall>
      <c:thickness val="0"/>
      <c:spPr>
        <a:solidFill>
          <a:srgbClr val="0D50D7"/>
        </a:solidFill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152755905511811"/>
          <c:y val="0.17171296296296296"/>
          <c:w val="0.83516885389326334"/>
          <c:h val="0.65665099154272388"/>
        </c:manualLayout>
      </c:layout>
      <c:bar3DChart>
        <c:barDir val="bar"/>
        <c:grouping val="clustered"/>
        <c:varyColors val="0"/>
        <c:ser>
          <c:idx val="3"/>
          <c:order val="3"/>
          <c:tx>
            <c:strRef>
              <c:f>Tulokset!$D$70</c:f>
              <c:strCache>
                <c:ptCount val="1"/>
                <c:pt idx="0">
                  <c:v>Hiilijalanjälki [tCO2]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  <a:effectLst/>
            <a:sp3d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Tulokset!$C$71:$C$75</c15:sqref>
                  </c15:fullRef>
                </c:ext>
              </c:extLst>
              <c:f>Tulokset!$C$72:$C$75</c:f>
              <c:strCache>
                <c:ptCount val="4"/>
                <c:pt idx="0">
                  <c:v>CLT 120</c:v>
                </c:pt>
                <c:pt idx="1">
                  <c:v>CLT 200</c:v>
                </c:pt>
                <c:pt idx="2">
                  <c:v>CLT 300</c:v>
                </c:pt>
                <c:pt idx="3">
                  <c:v>CLT 400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Tulokset!$D$71:$D$75</c15:sqref>
                  </c15:fullRef>
                </c:ext>
              </c:extLst>
              <c:f>Tulokset!$D$72:$D$75</c:f>
              <c:numCache>
                <c:formatCode>0</c:formatCode>
                <c:ptCount val="4"/>
                <c:pt idx="0">
                  <c:v>11.938000000000001</c:v>
                </c:pt>
                <c:pt idx="1">
                  <c:v>20.398</c:v>
                </c:pt>
                <c:pt idx="2">
                  <c:v>30.221</c:v>
                </c:pt>
                <c:pt idx="3">
                  <c:v>40.561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74-4823-9A7D-C7186512577F}"/>
            </c:ext>
          </c:extLst>
        </c:ser>
        <c:ser>
          <c:idx val="4"/>
          <c:order val="4"/>
          <c:tx>
            <c:strRef>
              <c:f>Tulokset!$E$70</c:f>
              <c:strCache>
                <c:ptCount val="1"/>
                <c:pt idx="0">
                  <c:v>Hiilikädenjälki [tCO2]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Tulokset!$C$71:$C$75</c15:sqref>
                  </c15:fullRef>
                </c:ext>
              </c:extLst>
              <c:f>Tulokset!$C$72:$C$75</c:f>
              <c:strCache>
                <c:ptCount val="4"/>
                <c:pt idx="0">
                  <c:v>CLT 120</c:v>
                </c:pt>
                <c:pt idx="1">
                  <c:v>CLT 200</c:v>
                </c:pt>
                <c:pt idx="2">
                  <c:v>CLT 300</c:v>
                </c:pt>
                <c:pt idx="3">
                  <c:v>CLT 400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Tulokset!$E$71:$E$75</c15:sqref>
                  </c15:fullRef>
                </c:ext>
              </c:extLst>
              <c:f>Tulokset!$E$72:$E$75</c:f>
              <c:numCache>
                <c:formatCode>0</c:formatCode>
                <c:ptCount val="4"/>
                <c:pt idx="0">
                  <c:v>95.504000000000005</c:v>
                </c:pt>
                <c:pt idx="1">
                  <c:v>163.184</c:v>
                </c:pt>
                <c:pt idx="2">
                  <c:v>241.768</c:v>
                </c:pt>
                <c:pt idx="3">
                  <c:v>324.488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674-4823-9A7D-C718651257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66823840"/>
        <c:axId val="666831056"/>
        <c:axId val="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v>CO2</c:v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  <a:sp3d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'Krstalo CLT80'!$B$7:$B$13</c15:sqref>
                        </c15:fullRef>
                        <c15:formulaRef>
                          <c15:sqref>'Krstalo CLT80'!$B$8:$B$13</c15:sqref>
                        </c15:formulaRef>
                      </c:ext>
                    </c:extLst>
                    <c:strCache>
                      <c:ptCount val="6"/>
                      <c:pt idx="0">
                        <c:v>CLT120</c:v>
                      </c:pt>
                      <c:pt idx="1">
                        <c:v>CLT200</c:v>
                      </c:pt>
                      <c:pt idx="2">
                        <c:v>CLT300</c:v>
                      </c:pt>
                      <c:pt idx="3">
                        <c:v>CLT400</c:v>
                      </c:pt>
                      <c:pt idx="4">
                        <c:v>Ranka</c:v>
                      </c:pt>
                      <c:pt idx="5">
                        <c:v>TB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'Krstalo CLT80'!$C$7:$C$13</c15:sqref>
                        </c15:fullRef>
                        <c15:formulaRef>
                          <c15:sqref>'Krstalo CLT80'!$C$8:$C$13</c15:sqref>
                        </c15:formulaRef>
                      </c:ext>
                    </c:extLst>
                    <c:numCache>
                      <c:formatCode>General</c:formatCode>
                      <c:ptCount val="6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7674-4823-9A7D-C7186512577F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v>Hiilijalanjälki</c:v>
                </c:tx>
                <c:spPr>
                  <a:solidFill>
                    <a:schemeClr val="bg2">
                      <a:lumMod val="25000"/>
                    </a:schemeClr>
                  </a:solidFill>
                  <a:ln>
                    <a:noFill/>
                  </a:ln>
                  <a:effectLst/>
                  <a:sp3d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'Krstalo CLT80'!$B$7:$B$13</c15:sqref>
                        </c15:fullRef>
                        <c15:formulaRef>
                          <c15:sqref>'Krstalo CLT80'!$B$8:$B$13</c15:sqref>
                        </c15:formulaRef>
                      </c:ext>
                    </c:extLst>
                    <c:strCache>
                      <c:ptCount val="6"/>
                      <c:pt idx="0">
                        <c:v>CLT120</c:v>
                      </c:pt>
                      <c:pt idx="1">
                        <c:v>CLT200</c:v>
                      </c:pt>
                      <c:pt idx="2">
                        <c:v>CLT300</c:v>
                      </c:pt>
                      <c:pt idx="3">
                        <c:v>CLT400</c:v>
                      </c:pt>
                      <c:pt idx="4">
                        <c:v>Ranka</c:v>
                      </c:pt>
                      <c:pt idx="5">
                        <c:v>TB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'Krstalo CLT80'!$D$7:$D$13</c15:sqref>
                        </c15:fullRef>
                        <c15:formulaRef>
                          <c15:sqref>'Krstalo CLT80'!$D$8:$D$13</c15:sqref>
                        </c15:formulaRef>
                      </c:ext>
                    </c:extLst>
                    <c:numCache>
                      <c:formatCode>0</c:formatCode>
                      <c:ptCount val="6"/>
                      <c:pt idx="0">
                        <c:v>37.983959999999996</c:v>
                      </c:pt>
                      <c:pt idx="1">
                        <c:v>42.417960000000001</c:v>
                      </c:pt>
                      <c:pt idx="2">
                        <c:v>49.633209999999998</c:v>
                      </c:pt>
                      <c:pt idx="3">
                        <c:v>57.594209999999997</c:v>
                      </c:pt>
                      <c:pt idx="4">
                        <c:v>29.584401088</c:v>
                      </c:pt>
                      <c:pt idx="5">
                        <c:v>119.03816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7674-4823-9A7D-C7186512577F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v>Hiilikädenjälki</c:v>
                </c:tx>
                <c:spPr>
                  <a:solidFill>
                    <a:schemeClr val="accent6">
                      <a:lumMod val="75000"/>
                    </a:schemeClr>
                  </a:solidFill>
                  <a:ln>
                    <a:noFill/>
                  </a:ln>
                  <a:effectLst/>
                  <a:sp3d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'Krstalo CLT80'!$B$7:$B$13</c15:sqref>
                        </c15:fullRef>
                        <c15:formulaRef>
                          <c15:sqref>'Krstalo CLT80'!$B$8:$B$13</c15:sqref>
                        </c15:formulaRef>
                      </c:ext>
                    </c:extLst>
                    <c:strCache>
                      <c:ptCount val="6"/>
                      <c:pt idx="0">
                        <c:v>CLT120</c:v>
                      </c:pt>
                      <c:pt idx="1">
                        <c:v>CLT200</c:v>
                      </c:pt>
                      <c:pt idx="2">
                        <c:v>CLT300</c:v>
                      </c:pt>
                      <c:pt idx="3">
                        <c:v>CLT400</c:v>
                      </c:pt>
                      <c:pt idx="4">
                        <c:v>Ranka</c:v>
                      </c:pt>
                      <c:pt idx="5">
                        <c:v>TB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'Krstalo CLT80'!$E$7:$E$13</c15:sqref>
                        </c15:fullRef>
                        <c15:formulaRef>
                          <c15:sqref>'Krstalo CLT80'!$E$8:$E$13</c15:sqref>
                        </c15:formulaRef>
                      </c:ext>
                    </c:extLst>
                    <c:numCache>
                      <c:formatCode>0</c:formatCode>
                      <c:ptCount val="6"/>
                      <c:pt idx="0">
                        <c:v>119.01439999999999</c:v>
                      </c:pt>
                      <c:pt idx="1">
                        <c:v>186.6944</c:v>
                      </c:pt>
                      <c:pt idx="2">
                        <c:v>265.27840000000003</c:v>
                      </c:pt>
                      <c:pt idx="3">
                        <c:v>347.9984</c:v>
                      </c:pt>
                      <c:pt idx="4">
                        <c:v>61.841249280000007</c:v>
                      </c:pt>
                      <c:pt idx="5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7674-4823-9A7D-C7186512577F}"/>
                  </c:ext>
                </c:extLst>
              </c15:ser>
            </c15:filteredBarSeries>
          </c:ext>
        </c:extLst>
      </c:bar3DChart>
      <c:catAx>
        <c:axId val="66682384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666831056"/>
        <c:crosses val="autoZero"/>
        <c:auto val="1"/>
        <c:lblAlgn val="ctr"/>
        <c:lblOffset val="100"/>
        <c:noMultiLvlLbl val="0"/>
      </c:catAx>
      <c:valAx>
        <c:axId val="6668310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6668238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7684350486706716E-2"/>
          <c:y val="0.88941590354543876"/>
          <c:w val="0.84463129902658651"/>
          <c:h val="0.1043976144535704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rgbClr val="FF0000"/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r>
              <a:rPr lang="fi-FI"/>
              <a:t>Hiilitase [tCO2]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bar"/>
        <c:grouping val="stack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Hiilitaselaskuri!$A$20:$A$28</c:f>
              <c:strCache>
                <c:ptCount val="9"/>
                <c:pt idx="0">
                  <c:v>Ulkoseinä:</c:v>
                </c:pt>
                <c:pt idx="1">
                  <c:v>Välipohja:</c:v>
                </c:pt>
                <c:pt idx="2">
                  <c:v>Yläpohja:</c:v>
                </c:pt>
                <c:pt idx="3">
                  <c:v>Katto:</c:v>
                </c:pt>
                <c:pt idx="4">
                  <c:v>Väliseinä:</c:v>
                </c:pt>
                <c:pt idx="5">
                  <c:v>Alapohja:</c:v>
                </c:pt>
                <c:pt idx="6">
                  <c:v>Kellari:</c:v>
                </c:pt>
                <c:pt idx="7">
                  <c:v>VSS:</c:v>
                </c:pt>
                <c:pt idx="8">
                  <c:v>Kivijalka:</c:v>
                </c:pt>
              </c:strCache>
            </c:strRef>
          </c:cat>
          <c:val>
            <c:numRef>
              <c:f>Hiilitaselaskuri!$G$20:$G$28</c:f>
              <c:numCache>
                <c:formatCode>0.0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91-41B5-811D-383E2BC087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728803032"/>
        <c:axId val="728803360"/>
        <c:axId val="0"/>
      </c:bar3DChart>
      <c:catAx>
        <c:axId val="72880303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728803360"/>
        <c:crosses val="autoZero"/>
        <c:auto val="1"/>
        <c:lblAlgn val="ctr"/>
        <c:lblOffset val="100"/>
        <c:noMultiLvlLbl val="0"/>
      </c:catAx>
      <c:valAx>
        <c:axId val="7288033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7288030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blipFill>
      <a:blip xmlns:r="http://schemas.openxmlformats.org/officeDocument/2006/relationships" r:embed="rId3"/>
      <a:stretch>
        <a:fillRect/>
      </a:stretch>
    </a:blip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bg1"/>
          </a:solidFill>
        </a:defRPr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9.xml"/><Relationship Id="rId3" Type="http://schemas.openxmlformats.org/officeDocument/2006/relationships/chart" Target="../charts/chart4.xml"/><Relationship Id="rId7" Type="http://schemas.openxmlformats.org/officeDocument/2006/relationships/chart" Target="../charts/chart8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6" Type="http://schemas.openxmlformats.org/officeDocument/2006/relationships/chart" Target="../charts/chart7.xml"/><Relationship Id="rId5" Type="http://schemas.openxmlformats.org/officeDocument/2006/relationships/chart" Target="../charts/chart6.xml"/><Relationship Id="rId4" Type="http://schemas.openxmlformats.org/officeDocument/2006/relationships/chart" Target="../charts/chart5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4.xml"/><Relationship Id="rId2" Type="http://schemas.openxmlformats.org/officeDocument/2006/relationships/chart" Target="../charts/chart13.xml"/><Relationship Id="rId1" Type="http://schemas.openxmlformats.org/officeDocument/2006/relationships/chart" Target="../charts/chart12.xml"/><Relationship Id="rId6" Type="http://schemas.openxmlformats.org/officeDocument/2006/relationships/chart" Target="../charts/chart17.xml"/><Relationship Id="rId5" Type="http://schemas.openxmlformats.org/officeDocument/2006/relationships/chart" Target="../charts/chart16.xml"/><Relationship Id="rId4" Type="http://schemas.openxmlformats.org/officeDocument/2006/relationships/chart" Target="../charts/chart15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544286</xdr:colOff>
      <xdr:row>1</xdr:row>
      <xdr:rowOff>9978</xdr:rowOff>
    </xdr:from>
    <xdr:ext cx="5202463" cy="2819299"/>
    <xdr:sp macro="" textlink="">
      <xdr:nvSpPr>
        <xdr:cNvPr id="2" name="Tekstiruutu 1">
          <a:extLst>
            <a:ext uri="{FF2B5EF4-FFF2-40B4-BE49-F238E27FC236}">
              <a16:creationId xmlns:a16="http://schemas.microsoft.com/office/drawing/2014/main" id="{D97D0A58-08EC-4C54-B3A5-5E81953E37A3}"/>
            </a:ext>
          </a:extLst>
        </xdr:cNvPr>
        <xdr:cNvSpPr txBox="1"/>
      </xdr:nvSpPr>
      <xdr:spPr>
        <a:xfrm>
          <a:off x="6612064" y="193422"/>
          <a:ext cx="5202463" cy="281929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fi-FI" sz="1200">
              <a:latin typeface="Arial" panose="020B0604020202020204" pitchFamily="34" charset="0"/>
              <a:cs typeface="Arial" panose="020B0604020202020204" pitchFamily="34" charset="0"/>
            </a:rPr>
            <a:t>Oheisissa taulukoissa on vertailtu erilaisia rakennevaihtoehtoja</a:t>
          </a:r>
          <a:r>
            <a:rPr lang="fi-FI" sz="1200" baseline="0">
              <a:latin typeface="Arial" panose="020B0604020202020204" pitchFamily="34" charset="0"/>
              <a:cs typeface="Arial" panose="020B0604020202020204" pitchFamily="34" charset="0"/>
            </a:rPr>
            <a:t> 5-kerroksiselle puukerrostalolle. Vertailuun on myös lisätty betonielementtirakenne, jotta nähdään selvemmin puurakenteen ilmastohyödyt vastaavan kokoisilla rakennuksilla.</a:t>
          </a:r>
        </a:p>
        <a:p>
          <a:endParaRPr lang="fi-FI" sz="1200" baseline="0"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i-FI" sz="120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Hiilitaselaskuri-taulukkosivulla voidaan vertailla kerrostalon rakennetta ja näin nähdä mahdolliset rakenteen ilmastovaikutukset. Sivulla on myös eri rakenteiden vertailukuvaajatt. Sivulla on taulukon täyttöohjeet.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fi-FI" sz="1200" baseline="0"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i-FI" sz="1200" baseline="0">
              <a:latin typeface="Arial" panose="020B0604020202020204" pitchFamily="34" charset="0"/>
              <a:cs typeface="Arial" panose="020B0604020202020204" pitchFamily="34" charset="0"/>
            </a:rPr>
            <a:t>Taulukkosivuilla: </a:t>
          </a:r>
          <a:r>
            <a:rPr lang="fi-FI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fi-FI" sz="120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CLT80, CLT80 + CLT120, CLT120, CLT200FULL, CLT300, CLT400, Ranka ja TB, </a:t>
          </a:r>
          <a:r>
            <a:rPr lang="fi-FI" sz="1200" baseline="0">
              <a:latin typeface="Arial" panose="020B0604020202020204" pitchFamily="34" charset="0"/>
              <a:cs typeface="Arial" panose="020B0604020202020204" pitchFamily="34" charset="0"/>
            </a:rPr>
            <a:t>on esitetty mahdollisia erilaisia rakennevaihtoehtoja kerrostalolle.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fi-FI" sz="1200" baseline="0"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i-FI" sz="1200" baseline="0">
              <a:latin typeface="Arial" panose="020B0604020202020204" pitchFamily="34" charset="0"/>
              <a:cs typeface="Arial" panose="020B0604020202020204" pitchFamily="34" charset="0"/>
            </a:rPr>
            <a:t>Kaikkien ulkoseinien ja yläpohjan rakenteiden U-arvot on 0.005:n sisällä alkuperäisestä 0.132:sta.</a:t>
          </a:r>
        </a:p>
      </xdr:txBody>
    </xdr:sp>
    <xdr:clientData/>
  </xdr:oneCellAnchor>
  <xdr:oneCellAnchor>
    <xdr:from>
      <xdr:col>10</xdr:col>
      <xdr:colOff>513021</xdr:colOff>
      <xdr:row>17</xdr:row>
      <xdr:rowOff>36589</xdr:rowOff>
    </xdr:from>
    <xdr:ext cx="5343090" cy="4351967"/>
    <xdr:sp macro="" textlink="">
      <xdr:nvSpPr>
        <xdr:cNvPr id="3" name="Tekstiruutu 2">
          <a:extLst>
            <a:ext uri="{FF2B5EF4-FFF2-40B4-BE49-F238E27FC236}">
              <a16:creationId xmlns:a16="http://schemas.microsoft.com/office/drawing/2014/main" id="{F24009F7-0373-48F1-A4C7-9A55D3C4458A}"/>
            </a:ext>
          </a:extLst>
        </xdr:cNvPr>
        <xdr:cNvSpPr txBox="1"/>
      </xdr:nvSpPr>
      <xdr:spPr>
        <a:xfrm>
          <a:off x="6580799" y="3155145"/>
          <a:ext cx="5343090" cy="435196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fi-FI" sz="12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Kaikki rakenteiden massat ovat likimäräisiä.</a:t>
          </a:r>
          <a:r>
            <a:rPr lang="fi-FI" sz="120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Ne eivät perustu tarkkoihin rakennesuunnitelmiin, vaan on mallinnettu arkkitehtimallin perusteella PDF-tiedostosta. Kaikista rakenteista on tehty tietomalli ArchiCad 24 ohjelmalla, mistä rakenteiden massat on otettu ulos Excel-tiedostoiksi.</a:t>
          </a:r>
        </a:p>
        <a:p>
          <a:endParaRPr lang="fi-FI" sz="1200" baseline="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i-FI" sz="120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Hiilikuormat perustuvat YM-Rakentamisen päästötietokannan tuotevaiheen osaan A1-A3 (</a:t>
          </a:r>
          <a:r>
            <a:rPr lang="fi-FI" sz="1200" i="1" baseline="0">
              <a:solidFill>
                <a:srgbClr val="7030A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https://co2data.fi/</a:t>
          </a:r>
          <a:r>
            <a:rPr lang="fi-FI" sz="1200" b="0" i="0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)</a:t>
          </a:r>
          <a:r>
            <a:rPr lang="fi-FI" sz="1200" b="0" i="0" baseline="0">
              <a:solidFill>
                <a:srgbClr val="7030A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. </a:t>
          </a:r>
          <a:r>
            <a:rPr lang="fi-FI" sz="1200" b="0" i="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Rakenteiden hiilikuormissa on otettu huomiin puun hiiltäsitova vaikutus.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fi-FI" sz="1200" b="0" i="0" baseline="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fi-FI" sz="120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Maanalaiset rakenteet on suunniteltu arvioiduilla rakenteilla, päätarkoituksena saada likimääräiset betonimassat ulos mallista. Betoni ei sisällä raudoitusta, näinollen raudoituksen lisäämää hiilikuormaa ei ole tuloksissa.</a:t>
          </a:r>
        </a:p>
        <a:p>
          <a:endParaRPr lang="fi-FI" sz="1200" baseline="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fi-FI" sz="120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Alkupeäisistä piirustuksista poiketen, rakenteihin ei ole mallinnettu parvekelaatastoa. Rakenteista puuttuu myös muutama ikkuna ja ovi. Näitä ei ole huomioitu laskelmissa. </a:t>
          </a:r>
          <a:endParaRPr lang="fi-FI" sz="12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fi-FI" sz="120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fi-FI" sz="12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Vaihtoehtoiset rakenteet on arvioitu Puu-Infon sivuilta löytyvillä puu-rakenteilla</a:t>
          </a:r>
          <a:r>
            <a:rPr lang="fi-FI" sz="120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(</a:t>
          </a:r>
          <a:r>
            <a:rPr lang="fi-FI" sz="1200" i="1" baseline="0">
              <a:solidFill>
                <a:srgbClr val="7030A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https://puuinfo.fi/suunnittelu/mitoitustyokalu/</a:t>
          </a:r>
          <a:r>
            <a:rPr lang="fi-FI" sz="1200" i="0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).</a:t>
          </a:r>
          <a:r>
            <a:rPr lang="fi-FI" sz="1200" i="1" baseline="0">
              <a:solidFill>
                <a:srgbClr val="7030A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fi-FI" sz="1200" i="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Betonirakenteet on arvioitu Elementtisuunnittelu.fi sivuilta löytyvillä rakennevaihtoehdoilla (</a:t>
          </a:r>
          <a:r>
            <a:rPr lang="fi-FI" sz="1200" i="1" baseline="0">
              <a:solidFill>
                <a:srgbClr val="7030A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https://www.elementtisuunnittelu.fi/rakennejarjestelmat</a:t>
          </a:r>
          <a:r>
            <a:rPr lang="fi-FI" sz="1200" i="0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).</a:t>
          </a:r>
          <a:endParaRPr lang="fi-FI" sz="1200">
            <a:solidFill>
              <a:sysClr val="windowText" lastClr="000000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fi-FI" sz="12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i-FI" sz="1200">
              <a:effectLst/>
              <a:latin typeface="Arial" panose="020B0604020202020204" pitchFamily="34" charset="0"/>
              <a:cs typeface="Arial" panose="020B0604020202020204" pitchFamily="34" charset="0"/>
            </a:rPr>
            <a:t>Tekijä ei vastaa rakenteiden oikeinpitävyydestä.</a:t>
          </a:r>
        </a:p>
        <a:p>
          <a:r>
            <a:rPr lang="fi-FI" sz="120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</a:p>
        <a:p>
          <a:r>
            <a:rPr lang="fi-FI" sz="120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endParaRPr lang="fi-FI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twoCellAnchor editAs="oneCell">
    <xdr:from>
      <xdr:col>0</xdr:col>
      <xdr:colOff>146956</xdr:colOff>
      <xdr:row>8</xdr:row>
      <xdr:rowOff>138339</xdr:rowOff>
    </xdr:from>
    <xdr:to>
      <xdr:col>5</xdr:col>
      <xdr:colOff>103944</xdr:colOff>
      <xdr:row>24</xdr:row>
      <xdr:rowOff>11902</xdr:rowOff>
    </xdr:to>
    <xdr:pic>
      <xdr:nvPicPr>
        <xdr:cNvPr id="5" name="Kuva 4">
          <a:extLst>
            <a:ext uri="{FF2B5EF4-FFF2-40B4-BE49-F238E27FC236}">
              <a16:creationId xmlns:a16="http://schemas.microsoft.com/office/drawing/2014/main" id="{4E3C07F6-B438-4DBD-8D9F-3538EABBD0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6956" y="1553482"/>
          <a:ext cx="3024945" cy="2697499"/>
        </a:xfrm>
        <a:prstGeom prst="rect">
          <a:avLst/>
        </a:prstGeom>
        <a:solidFill>
          <a:srgbClr val="FFFFFF">
            <a:shade val="85000"/>
          </a:srgbClr>
        </a:solidFill>
        <a:ln w="19050" cap="sq">
          <a:solidFill>
            <a:srgbClr val="FF0000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  <xdr:twoCellAnchor editAs="oneCell">
    <xdr:from>
      <xdr:col>5</xdr:col>
      <xdr:colOff>194581</xdr:colOff>
      <xdr:row>8</xdr:row>
      <xdr:rowOff>109765</xdr:rowOff>
    </xdr:from>
    <xdr:to>
      <xdr:col>10</xdr:col>
      <xdr:colOff>28791</xdr:colOff>
      <xdr:row>24</xdr:row>
      <xdr:rowOff>21771</xdr:rowOff>
    </xdr:to>
    <xdr:pic>
      <xdr:nvPicPr>
        <xdr:cNvPr id="6" name="Kuva 5">
          <a:extLst>
            <a:ext uri="{FF2B5EF4-FFF2-40B4-BE49-F238E27FC236}">
              <a16:creationId xmlns:a16="http://schemas.microsoft.com/office/drawing/2014/main" id="{8FF43050-5D8A-476F-AF37-087BB715A2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256188" y="1524908"/>
          <a:ext cx="2889467" cy="2742292"/>
        </a:xfrm>
        <a:prstGeom prst="rect">
          <a:avLst/>
        </a:prstGeom>
        <a:solidFill>
          <a:srgbClr val="FFFFFF">
            <a:shade val="85000"/>
          </a:srgbClr>
        </a:solidFill>
        <a:ln w="19050" cap="sq">
          <a:solidFill>
            <a:srgbClr val="FF0000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  <xdr:oneCellAnchor>
    <xdr:from>
      <xdr:col>0</xdr:col>
      <xdr:colOff>215596</xdr:colOff>
      <xdr:row>1</xdr:row>
      <xdr:rowOff>24444</xdr:rowOff>
    </xdr:from>
    <xdr:ext cx="5874960" cy="937629"/>
    <xdr:sp macro="" textlink="">
      <xdr:nvSpPr>
        <xdr:cNvPr id="8" name="Suorakulmio 7">
          <a:extLst>
            <a:ext uri="{FF2B5EF4-FFF2-40B4-BE49-F238E27FC236}">
              <a16:creationId xmlns:a16="http://schemas.microsoft.com/office/drawing/2014/main" id="{0417FEEF-816E-4DBC-BD58-C30A68909D27}"/>
            </a:ext>
          </a:extLst>
        </xdr:cNvPr>
        <xdr:cNvSpPr/>
      </xdr:nvSpPr>
      <xdr:spPr>
        <a:xfrm>
          <a:off x="215596" y="201337"/>
          <a:ext cx="5874960" cy="937629"/>
        </a:xfrm>
        <a:prstGeom prst="rect">
          <a:avLst/>
        </a:prstGeom>
        <a:solidFill>
          <a:srgbClr val="99FF66"/>
        </a:solidFill>
      </xdr:spPr>
      <xdr:txBody>
        <a:bodyPr wrap="square" lIns="91440" tIns="45720" rIns="91440" bIns="45720">
          <a:spAutoFit/>
        </a:bodyPr>
        <a:lstStyle/>
        <a:p>
          <a:pPr algn="ctr"/>
          <a:r>
            <a:rPr lang="fi-FI" sz="5400" b="1" cap="none" spc="0">
              <a:ln w="22225">
                <a:solidFill>
                  <a:srgbClr val="7030A0"/>
                </a:solidFill>
                <a:prstDash val="solid"/>
              </a:ln>
              <a:solidFill>
                <a:srgbClr val="FFC000"/>
              </a:solidFill>
              <a:effectLst>
                <a:reflection blurRad="6350" stA="55000" endA="50" endPos="85000" dist="29997" dir="5400000" sy="-100000" algn="bl" rotWithShape="0"/>
              </a:effectLst>
            </a:rPr>
            <a:t>PTK-Kerrostalo</a:t>
          </a:r>
        </a:p>
      </xdr:txBody>
    </xdr:sp>
    <xdr:clientData/>
  </xdr:oneCellAnchor>
  <xdr:twoCellAnchor>
    <xdr:from>
      <xdr:col>0</xdr:col>
      <xdr:colOff>77560</xdr:colOff>
      <xdr:row>24</xdr:row>
      <xdr:rowOff>144236</xdr:rowOff>
    </xdr:from>
    <xdr:to>
      <xdr:col>10</xdr:col>
      <xdr:colOff>31749</xdr:colOff>
      <xdr:row>43</xdr:row>
      <xdr:rowOff>130174</xdr:rowOff>
    </xdr:to>
    <xdr:graphicFrame macro="">
      <xdr:nvGraphicFramePr>
        <xdr:cNvPr id="7" name="Kaavio 6">
          <a:extLst>
            <a:ext uri="{FF2B5EF4-FFF2-40B4-BE49-F238E27FC236}">
              <a16:creationId xmlns:a16="http://schemas.microsoft.com/office/drawing/2014/main" id="{258EAEEC-610C-48F9-9F2F-5820E047DE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84667</xdr:colOff>
      <xdr:row>46</xdr:row>
      <xdr:rowOff>77611</xdr:rowOff>
    </xdr:from>
    <xdr:to>
      <xdr:col>2</xdr:col>
      <xdr:colOff>98522</xdr:colOff>
      <xdr:row>48</xdr:row>
      <xdr:rowOff>140164</xdr:rowOff>
    </xdr:to>
    <xdr:pic>
      <xdr:nvPicPr>
        <xdr:cNvPr id="10" name="Kuva 9">
          <a:extLst>
            <a:ext uri="{FF2B5EF4-FFF2-40B4-BE49-F238E27FC236}">
              <a16:creationId xmlns:a16="http://schemas.microsoft.com/office/drawing/2014/main" id="{491593DE-48E0-437A-A0FC-6E348E2785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667" y="8516055"/>
          <a:ext cx="1227411" cy="42944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104775</xdr:colOff>
      <xdr:row>0</xdr:row>
      <xdr:rowOff>73025</xdr:rowOff>
    </xdr:from>
    <xdr:ext cx="2000250" cy="2503506"/>
    <xdr:sp macro="" textlink="">
      <xdr:nvSpPr>
        <xdr:cNvPr id="2" name="Tekstiruutu 1">
          <a:extLst>
            <a:ext uri="{FF2B5EF4-FFF2-40B4-BE49-F238E27FC236}">
              <a16:creationId xmlns:a16="http://schemas.microsoft.com/office/drawing/2014/main" id="{0186FDC7-D3E1-4355-A75D-0BC27A0BB7CE}"/>
            </a:ext>
          </a:extLst>
        </xdr:cNvPr>
        <xdr:cNvSpPr txBox="1"/>
      </xdr:nvSpPr>
      <xdr:spPr>
        <a:xfrm>
          <a:off x="104775" y="73025"/>
          <a:ext cx="2000250" cy="2503506"/>
        </a:xfrm>
        <a:prstGeom prst="rect">
          <a:avLst/>
        </a:prstGeom>
        <a:noFill/>
        <a:ln w="19050">
          <a:solidFill>
            <a:srgbClr val="00B0F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i-FI" sz="1100"/>
            <a:t>US1=CLT 80	</a:t>
          </a:r>
          <a:r>
            <a:rPr lang="fi-FI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YP1=CLT 80</a:t>
          </a:r>
          <a:endParaRPr lang="fi-FI" sz="110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i-FI" sz="1100"/>
            <a:t>US2=CLT 120	</a:t>
          </a:r>
          <a:r>
            <a:rPr lang="fi-FI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YP2=CLT 200</a:t>
          </a:r>
          <a:endParaRPr lang="fi-FI" sz="1100"/>
        </a:p>
        <a:p>
          <a:r>
            <a:rPr lang="fi-FI" sz="1100"/>
            <a:t>US3=CLT 200	</a:t>
          </a:r>
          <a:r>
            <a:rPr lang="fi-FI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YP3=Ranka</a:t>
          </a:r>
          <a:endParaRPr lang="fi-FI">
            <a:effectLst/>
          </a:endParaRPr>
        </a:p>
        <a:p>
          <a:r>
            <a:rPr lang="fi-FI" sz="1100"/>
            <a:t>US4=CLT 300	</a:t>
          </a:r>
          <a:r>
            <a:rPr lang="fi-FI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YP4=TB</a:t>
          </a:r>
          <a:endParaRPr lang="fi-FI" sz="1100"/>
        </a:p>
        <a:p>
          <a:r>
            <a:rPr lang="fi-FI" sz="1100"/>
            <a:t>US5=CLT 400</a:t>
          </a:r>
        </a:p>
        <a:p>
          <a:r>
            <a:rPr lang="fi-FI" sz="1100"/>
            <a:t>US6=Ranka	VS1=CLT 80</a:t>
          </a:r>
        </a:p>
        <a:p>
          <a:r>
            <a:rPr lang="fi-FI" sz="1100"/>
            <a:t>US7=TB	VS2=CLT 100</a:t>
          </a:r>
        </a:p>
        <a:p>
          <a:r>
            <a:rPr lang="fi-FI" sz="1100"/>
            <a:t>	VS3=Ranka</a:t>
          </a:r>
        </a:p>
        <a:p>
          <a:r>
            <a:rPr lang="fi-FI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VP1=CLT 80</a:t>
          </a:r>
          <a:r>
            <a:rPr lang="fi-FI" sz="1100"/>
            <a:t>	VS4=TB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i-FI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VP2=CLT 200</a:t>
          </a:r>
          <a:endParaRPr lang="fi-FI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i-FI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VP3=Ranka	Kto1=Pelti</a:t>
          </a:r>
          <a:endParaRPr lang="fi-FI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i-FI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VP4=TB	Kto2=Bitumi</a:t>
          </a:r>
          <a:endParaRPr lang="fi-FI">
            <a:effectLst/>
          </a:endParaRPr>
        </a:p>
        <a:p>
          <a:r>
            <a:rPr lang="fi-FI" sz="1100"/>
            <a:t>	Kto3=Kupari</a:t>
          </a:r>
        </a:p>
        <a:p>
          <a:r>
            <a:rPr lang="fi-FI" sz="1100"/>
            <a:t>	Kto4=Betonitiili</a:t>
          </a:r>
        </a:p>
      </xdr:txBody>
    </xdr:sp>
    <xdr:clientData/>
  </xdr:oneCellAnchor>
  <xdr:oneCellAnchor>
    <xdr:from>
      <xdr:col>4</xdr:col>
      <xdr:colOff>47625</xdr:colOff>
      <xdr:row>0</xdr:row>
      <xdr:rowOff>73477</xdr:rowOff>
    </xdr:from>
    <xdr:ext cx="2924176" cy="1059998"/>
    <xdr:sp macro="" textlink="">
      <xdr:nvSpPr>
        <xdr:cNvPr id="3" name="Tekstiruutu 2">
          <a:extLst>
            <a:ext uri="{FF2B5EF4-FFF2-40B4-BE49-F238E27FC236}">
              <a16:creationId xmlns:a16="http://schemas.microsoft.com/office/drawing/2014/main" id="{988F36EB-52C0-4E33-8336-AFB02376C50B}"/>
            </a:ext>
          </a:extLst>
        </xdr:cNvPr>
        <xdr:cNvSpPr txBox="1"/>
      </xdr:nvSpPr>
      <xdr:spPr>
        <a:xfrm>
          <a:off x="2657475" y="73477"/>
          <a:ext cx="2924176" cy="1059998"/>
        </a:xfrm>
        <a:prstGeom prst="rect">
          <a:avLst/>
        </a:prstGeom>
        <a:noFill/>
        <a:ln w="19050">
          <a:solidFill>
            <a:srgbClr val="00B0F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i-FI" sz="1100" b="1"/>
            <a:t>PKT-kerrostalon rakenteiden hiilivertailu.</a:t>
          </a:r>
          <a:r>
            <a:rPr lang="fi-FI" sz="1100" b="1" baseline="0"/>
            <a:t> </a:t>
          </a:r>
          <a:r>
            <a:rPr lang="fi-FI" sz="1100" baseline="0"/>
            <a:t>Massat ovat suuntaa antavia. Kellari, VSS, alapohja ja kivijalka on mallinnettu suuntaa antavaksi hiililaskentaa varten. Betonissa ei ole huomioitu raudoitusta. </a:t>
          </a:r>
          <a:endParaRPr lang="fi-FI" sz="1100"/>
        </a:p>
      </xdr:txBody>
    </xdr:sp>
    <xdr:clientData/>
  </xdr:oneCellAnchor>
  <xdr:oneCellAnchor>
    <xdr:from>
      <xdr:col>0</xdr:col>
      <xdr:colOff>114300</xdr:colOff>
      <xdr:row>15</xdr:row>
      <xdr:rowOff>142875</xdr:rowOff>
    </xdr:from>
    <xdr:ext cx="1962150" cy="628650"/>
    <xdr:sp macro="" textlink="">
      <xdr:nvSpPr>
        <xdr:cNvPr id="4" name="Tekstiruutu 3">
          <a:extLst>
            <a:ext uri="{FF2B5EF4-FFF2-40B4-BE49-F238E27FC236}">
              <a16:creationId xmlns:a16="http://schemas.microsoft.com/office/drawing/2014/main" id="{1E4BC62A-2E8A-415E-9E3E-A07BC1EDE0B5}"/>
            </a:ext>
          </a:extLst>
        </xdr:cNvPr>
        <xdr:cNvSpPr txBox="1"/>
      </xdr:nvSpPr>
      <xdr:spPr>
        <a:xfrm>
          <a:off x="114300" y="2867025"/>
          <a:ext cx="1962150" cy="628650"/>
        </a:xfrm>
        <a:prstGeom prst="rect">
          <a:avLst/>
        </a:prstGeom>
        <a:noFill/>
        <a:ln w="19050">
          <a:solidFill>
            <a:srgbClr val="00B0F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i-FI" sz="1100"/>
            <a:t>Valitse vaaleansinisistä</a:t>
          </a:r>
          <a:r>
            <a:rPr lang="fi-FI" sz="1100" baseline="0"/>
            <a:t> vetolaatikoista haluttu rakenne  	↓</a:t>
          </a:r>
          <a:endParaRPr lang="fi-FI" sz="1100"/>
        </a:p>
      </xdr:txBody>
    </xdr:sp>
    <xdr:clientData/>
  </xdr:oneCellAnchor>
  <xdr:oneCellAnchor>
    <xdr:from>
      <xdr:col>7</xdr:col>
      <xdr:colOff>131535</xdr:colOff>
      <xdr:row>0</xdr:row>
      <xdr:rowOff>86632</xdr:rowOff>
    </xdr:from>
    <xdr:ext cx="2468790" cy="1056367"/>
    <xdr:sp macro="" textlink="">
      <xdr:nvSpPr>
        <xdr:cNvPr id="5" name="Tekstiruutu 4">
          <a:extLst>
            <a:ext uri="{FF2B5EF4-FFF2-40B4-BE49-F238E27FC236}">
              <a16:creationId xmlns:a16="http://schemas.microsoft.com/office/drawing/2014/main" id="{663A7345-D2D6-4F0E-BF79-C47779EBC8B0}"/>
            </a:ext>
          </a:extLst>
        </xdr:cNvPr>
        <xdr:cNvSpPr txBox="1"/>
      </xdr:nvSpPr>
      <xdr:spPr>
        <a:xfrm>
          <a:off x="5665560" y="86632"/>
          <a:ext cx="2468790" cy="1056367"/>
        </a:xfrm>
        <a:prstGeom prst="rect">
          <a:avLst/>
        </a:prstGeom>
        <a:noFill/>
        <a:ln w="19050">
          <a:solidFill>
            <a:srgbClr val="00B0F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i-FI" sz="1100"/>
            <a:t>Hiiliarvoina (CO</a:t>
          </a:r>
          <a:r>
            <a:rPr lang="fi-FI" sz="1100" baseline="-25000"/>
            <a:t>2</a:t>
          </a:r>
          <a:r>
            <a:rPr lang="fi-FI" sz="1100"/>
            <a:t>) ja muunnoskertoimina (kg/m</a:t>
          </a:r>
          <a:r>
            <a:rPr lang="fi-FI" sz="1100" baseline="30000"/>
            <a:t>3</a:t>
          </a:r>
          <a:r>
            <a:rPr lang="fi-FI" sz="1100"/>
            <a:t>) on käytetty YM-Rakentamisen</a:t>
          </a:r>
          <a:r>
            <a:rPr lang="fi-FI" sz="1100" baseline="0"/>
            <a:t> päästötietokannoista otettuja </a:t>
          </a:r>
          <a:r>
            <a:rPr lang="fi-FI"/>
            <a:t>Konservatiivisia arvoja rakentamisluvan hakemiseen, GWP (A1-A3). </a:t>
          </a:r>
          <a:endParaRPr lang="fi-FI" sz="1100"/>
        </a:p>
      </xdr:txBody>
    </xdr:sp>
    <xdr:clientData/>
  </xdr:oneCellAnchor>
  <xdr:oneCellAnchor>
    <xdr:from>
      <xdr:col>10</xdr:col>
      <xdr:colOff>393699</xdr:colOff>
      <xdr:row>0</xdr:row>
      <xdr:rowOff>78013</xdr:rowOff>
    </xdr:from>
    <xdr:ext cx="2987676" cy="1007837"/>
    <xdr:sp macro="" textlink="">
      <xdr:nvSpPr>
        <xdr:cNvPr id="7" name="Tekstiruutu 6">
          <a:extLst>
            <a:ext uri="{FF2B5EF4-FFF2-40B4-BE49-F238E27FC236}">
              <a16:creationId xmlns:a16="http://schemas.microsoft.com/office/drawing/2014/main" id="{3F0C8750-3940-4F38-8A83-1399C7500DBB}"/>
            </a:ext>
          </a:extLst>
        </xdr:cNvPr>
        <xdr:cNvSpPr txBox="1"/>
      </xdr:nvSpPr>
      <xdr:spPr>
        <a:xfrm>
          <a:off x="8528049" y="78013"/>
          <a:ext cx="2987676" cy="1007837"/>
        </a:xfrm>
        <a:prstGeom prst="rect">
          <a:avLst/>
        </a:prstGeom>
        <a:noFill/>
        <a:ln w="19050">
          <a:solidFill>
            <a:srgbClr val="00B0F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i-FI" sz="1100"/>
            <a:t>Ohessa olevissa</a:t>
          </a:r>
          <a:r>
            <a:rPr lang="fi-FI" sz="1100" baseline="0"/>
            <a:t> kuvaajissa on esitetty eri rakenteiden hiilijalan- ja hiilikädenjäljet. Aloitussivulla kuvaajassa Hiilitase on esitetty valitun rakenteen hiilitaseet.</a:t>
          </a:r>
          <a:endParaRPr lang="fi-FI" sz="1100"/>
        </a:p>
      </xdr:txBody>
    </xdr:sp>
    <xdr:clientData/>
  </xdr:oneCellAnchor>
  <xdr:twoCellAnchor>
    <xdr:from>
      <xdr:col>14</xdr:col>
      <xdr:colOff>79375</xdr:colOff>
      <xdr:row>0</xdr:row>
      <xdr:rowOff>137583</xdr:rowOff>
    </xdr:from>
    <xdr:to>
      <xdr:col>21</xdr:col>
      <xdr:colOff>437963</xdr:colOff>
      <xdr:row>15</xdr:row>
      <xdr:rowOff>18366</xdr:rowOff>
    </xdr:to>
    <xdr:graphicFrame macro="">
      <xdr:nvGraphicFramePr>
        <xdr:cNvPr id="9" name="Kaavio 8">
          <a:extLst>
            <a:ext uri="{FF2B5EF4-FFF2-40B4-BE49-F238E27FC236}">
              <a16:creationId xmlns:a16="http://schemas.microsoft.com/office/drawing/2014/main" id="{74C5B62E-94B6-443C-A393-92298C2AA9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78317</xdr:colOff>
      <xdr:row>15</xdr:row>
      <xdr:rowOff>109942</xdr:rowOff>
    </xdr:from>
    <xdr:to>
      <xdr:col>21</xdr:col>
      <xdr:colOff>436905</xdr:colOff>
      <xdr:row>28</xdr:row>
      <xdr:rowOff>95561</xdr:rowOff>
    </xdr:to>
    <xdr:graphicFrame macro="">
      <xdr:nvGraphicFramePr>
        <xdr:cNvPr id="10" name="Kaavio 9">
          <a:extLst>
            <a:ext uri="{FF2B5EF4-FFF2-40B4-BE49-F238E27FC236}">
              <a16:creationId xmlns:a16="http://schemas.microsoft.com/office/drawing/2014/main" id="{B172391F-BD2F-4AE2-9486-B52B77F339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91018</xdr:colOff>
      <xdr:row>29</xdr:row>
      <xdr:rowOff>1928</xdr:rowOff>
    </xdr:from>
    <xdr:to>
      <xdr:col>21</xdr:col>
      <xdr:colOff>449606</xdr:colOff>
      <xdr:row>44</xdr:row>
      <xdr:rowOff>69537</xdr:rowOff>
    </xdr:to>
    <xdr:graphicFrame macro="">
      <xdr:nvGraphicFramePr>
        <xdr:cNvPr id="11" name="Kaavio 10">
          <a:extLst>
            <a:ext uri="{FF2B5EF4-FFF2-40B4-BE49-F238E27FC236}">
              <a16:creationId xmlns:a16="http://schemas.microsoft.com/office/drawing/2014/main" id="{0903A927-50F8-4AA1-84F4-46FFA9634B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21</xdr:col>
      <xdr:colOff>540657</xdr:colOff>
      <xdr:row>0</xdr:row>
      <xdr:rowOff>135155</xdr:rowOff>
    </xdr:from>
    <xdr:to>
      <xdr:col>29</xdr:col>
      <xdr:colOff>285411</xdr:colOff>
      <xdr:row>15</xdr:row>
      <xdr:rowOff>105149</xdr:rowOff>
    </xdr:to>
    <xdr:graphicFrame macro="">
      <xdr:nvGraphicFramePr>
        <xdr:cNvPr id="12" name="Kaavio 11">
          <a:extLst>
            <a:ext uri="{FF2B5EF4-FFF2-40B4-BE49-F238E27FC236}">
              <a16:creationId xmlns:a16="http://schemas.microsoft.com/office/drawing/2014/main" id="{2FFA9DEF-5429-47E8-B997-7FA98A4CAF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571500</xdr:colOff>
      <xdr:row>16</xdr:row>
      <xdr:rowOff>45882</xdr:rowOff>
    </xdr:from>
    <xdr:to>
      <xdr:col>29</xdr:col>
      <xdr:colOff>316254</xdr:colOff>
      <xdr:row>28</xdr:row>
      <xdr:rowOff>40652</xdr:rowOff>
    </xdr:to>
    <xdr:graphicFrame macro="">
      <xdr:nvGraphicFramePr>
        <xdr:cNvPr id="13" name="Kaavio 12">
          <a:extLst>
            <a:ext uri="{FF2B5EF4-FFF2-40B4-BE49-F238E27FC236}">
              <a16:creationId xmlns:a16="http://schemas.microsoft.com/office/drawing/2014/main" id="{3532E9BA-8827-498A-97E1-C53B6A5B3D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476250</xdr:colOff>
      <xdr:row>28</xdr:row>
      <xdr:rowOff>140634</xdr:rowOff>
    </xdr:from>
    <xdr:to>
      <xdr:col>29</xdr:col>
      <xdr:colOff>354354</xdr:colOff>
      <xdr:row>43</xdr:row>
      <xdr:rowOff>103655</xdr:rowOff>
    </xdr:to>
    <xdr:graphicFrame macro="">
      <xdr:nvGraphicFramePr>
        <xdr:cNvPr id="14" name="Kaavio 13">
          <a:extLst>
            <a:ext uri="{FF2B5EF4-FFF2-40B4-BE49-F238E27FC236}">
              <a16:creationId xmlns:a16="http://schemas.microsoft.com/office/drawing/2014/main" id="{1054C34E-EB10-4394-AB9B-D13A8F85404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10</xdr:col>
      <xdr:colOff>361950</xdr:colOff>
      <xdr:row>6</xdr:row>
      <xdr:rowOff>47625</xdr:rowOff>
    </xdr:from>
    <xdr:to>
      <xdr:col>14</xdr:col>
      <xdr:colOff>9337</xdr:colOff>
      <xdr:row>17</xdr:row>
      <xdr:rowOff>84363</xdr:rowOff>
    </xdr:to>
    <xdr:graphicFrame macro="">
      <xdr:nvGraphicFramePr>
        <xdr:cNvPr id="15" name="Kaavio 14">
          <a:extLst>
            <a:ext uri="{FF2B5EF4-FFF2-40B4-BE49-F238E27FC236}">
              <a16:creationId xmlns:a16="http://schemas.microsoft.com/office/drawing/2014/main" id="{860E8C3B-3CA0-41C8-B665-41F328FCC7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7</xdr:col>
      <xdr:colOff>703037</xdr:colOff>
      <xdr:row>24</xdr:row>
      <xdr:rowOff>79827</xdr:rowOff>
    </xdr:from>
    <xdr:to>
      <xdr:col>12</xdr:col>
      <xdr:colOff>839108</xdr:colOff>
      <xdr:row>39</xdr:row>
      <xdr:rowOff>65313</xdr:rowOff>
    </xdr:to>
    <xdr:graphicFrame macro="">
      <xdr:nvGraphicFramePr>
        <xdr:cNvPr id="8" name="Kaavio 7">
          <a:extLst>
            <a:ext uri="{FF2B5EF4-FFF2-40B4-BE49-F238E27FC236}">
              <a16:creationId xmlns:a16="http://schemas.microsoft.com/office/drawing/2014/main" id="{0BE1F755-FCAA-4A25-9E8E-14D57E5DB6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430388</xdr:colOff>
      <xdr:row>67</xdr:row>
      <xdr:rowOff>53622</xdr:rowOff>
    </xdr:from>
    <xdr:to>
      <xdr:col>11</xdr:col>
      <xdr:colOff>649110</xdr:colOff>
      <xdr:row>82</xdr:row>
      <xdr:rowOff>45156</xdr:rowOff>
    </xdr:to>
    <xdr:graphicFrame macro="">
      <xdr:nvGraphicFramePr>
        <xdr:cNvPr id="2" name="Kaavio 1">
          <a:extLst>
            <a:ext uri="{FF2B5EF4-FFF2-40B4-BE49-F238E27FC236}">
              <a16:creationId xmlns:a16="http://schemas.microsoft.com/office/drawing/2014/main" id="{C79C1420-CD51-4510-97BA-B6B3FDC97F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80</xdr:row>
      <xdr:rowOff>0</xdr:rowOff>
    </xdr:from>
    <xdr:to>
      <xdr:col>6</xdr:col>
      <xdr:colOff>587894</xdr:colOff>
      <xdr:row>94</xdr:row>
      <xdr:rowOff>143601</xdr:rowOff>
    </xdr:to>
    <xdr:graphicFrame macro="">
      <xdr:nvGraphicFramePr>
        <xdr:cNvPr id="3" name="Kaavio 2">
          <a:extLst>
            <a:ext uri="{FF2B5EF4-FFF2-40B4-BE49-F238E27FC236}">
              <a16:creationId xmlns:a16="http://schemas.microsoft.com/office/drawing/2014/main" id="{DA9327BC-2AFF-4EB9-AD7C-07667BED62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117475</xdr:colOff>
      <xdr:row>3</xdr:row>
      <xdr:rowOff>73025</xdr:rowOff>
    </xdr:from>
    <xdr:to>
      <xdr:col>14</xdr:col>
      <xdr:colOff>403225</xdr:colOff>
      <xdr:row>17</xdr:row>
      <xdr:rowOff>73025</xdr:rowOff>
    </xdr:to>
    <xdr:graphicFrame macro="">
      <xdr:nvGraphicFramePr>
        <xdr:cNvPr id="6" name="Kaavio 5">
          <a:extLst>
            <a:ext uri="{FF2B5EF4-FFF2-40B4-BE49-F238E27FC236}">
              <a16:creationId xmlns:a16="http://schemas.microsoft.com/office/drawing/2014/main" id="{8D20AB38-C0E8-491F-898D-DBB2C618CE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127000</xdr:colOff>
      <xdr:row>18</xdr:row>
      <xdr:rowOff>12700</xdr:rowOff>
    </xdr:from>
    <xdr:to>
      <xdr:col>14</xdr:col>
      <xdr:colOff>412750</xdr:colOff>
      <xdr:row>32</xdr:row>
      <xdr:rowOff>152400</xdr:rowOff>
    </xdr:to>
    <xdr:graphicFrame macro="">
      <xdr:nvGraphicFramePr>
        <xdr:cNvPr id="7" name="Kaavio 6">
          <a:extLst>
            <a:ext uri="{FF2B5EF4-FFF2-40B4-BE49-F238E27FC236}">
              <a16:creationId xmlns:a16="http://schemas.microsoft.com/office/drawing/2014/main" id="{2E804634-EA9C-4963-9B11-E8BF2A0230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139700</xdr:colOff>
      <xdr:row>33</xdr:row>
      <xdr:rowOff>44450</xdr:rowOff>
    </xdr:from>
    <xdr:to>
      <xdr:col>14</xdr:col>
      <xdr:colOff>425450</xdr:colOff>
      <xdr:row>48</xdr:row>
      <xdr:rowOff>63500</xdr:rowOff>
    </xdr:to>
    <xdr:graphicFrame macro="">
      <xdr:nvGraphicFramePr>
        <xdr:cNvPr id="8" name="Kaavio 7">
          <a:extLst>
            <a:ext uri="{FF2B5EF4-FFF2-40B4-BE49-F238E27FC236}">
              <a16:creationId xmlns:a16="http://schemas.microsoft.com/office/drawing/2014/main" id="{1AA6D74B-D098-450C-89B6-B663EE6999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184150</xdr:colOff>
      <xdr:row>48</xdr:row>
      <xdr:rowOff>171450</xdr:rowOff>
    </xdr:from>
    <xdr:to>
      <xdr:col>14</xdr:col>
      <xdr:colOff>469900</xdr:colOff>
      <xdr:row>64</xdr:row>
      <xdr:rowOff>6350</xdr:rowOff>
    </xdr:to>
    <xdr:graphicFrame macro="">
      <xdr:nvGraphicFramePr>
        <xdr:cNvPr id="10" name="Kaavio 9">
          <a:extLst>
            <a:ext uri="{FF2B5EF4-FFF2-40B4-BE49-F238E27FC236}">
              <a16:creationId xmlns:a16="http://schemas.microsoft.com/office/drawing/2014/main" id="{8EE4CD8D-2B2A-4AF9-ACF9-AB104DB77C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196850</xdr:colOff>
      <xdr:row>64</xdr:row>
      <xdr:rowOff>127000</xdr:rowOff>
    </xdr:from>
    <xdr:to>
      <xdr:col>14</xdr:col>
      <xdr:colOff>482600</xdr:colOff>
      <xdr:row>79</xdr:row>
      <xdr:rowOff>146050</xdr:rowOff>
    </xdr:to>
    <xdr:graphicFrame macro="">
      <xdr:nvGraphicFramePr>
        <xdr:cNvPr id="11" name="Kaavio 10">
          <a:extLst>
            <a:ext uri="{FF2B5EF4-FFF2-40B4-BE49-F238E27FC236}">
              <a16:creationId xmlns:a16="http://schemas.microsoft.com/office/drawing/2014/main" id="{CD0C5019-F1D4-4D1A-82CA-116F3F5214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101600</xdr:colOff>
      <xdr:row>80</xdr:row>
      <xdr:rowOff>69850</xdr:rowOff>
    </xdr:from>
    <xdr:to>
      <xdr:col>14</xdr:col>
      <xdr:colOff>520700</xdr:colOff>
      <xdr:row>95</xdr:row>
      <xdr:rowOff>88900</xdr:rowOff>
    </xdr:to>
    <xdr:graphicFrame macro="">
      <xdr:nvGraphicFramePr>
        <xdr:cNvPr id="12" name="Kaavio 11">
          <a:extLst>
            <a:ext uri="{FF2B5EF4-FFF2-40B4-BE49-F238E27FC236}">
              <a16:creationId xmlns:a16="http://schemas.microsoft.com/office/drawing/2014/main" id="{F0DB4A03-A069-41F1-8D30-E5F98111E8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BBFD41B-55C6-49C8-B9EF-B9B37131CCA9}" name="Table1" displayName="Table1" ref="A5:L85" totalsRowShown="0" headerRowDxfId="266" dataDxfId="265" tableBorderDxfId="264">
  <autoFilter ref="A5:L85" xr:uid="{1437F265-A977-48B4-9BA8-32609DC37946}"/>
  <sortState xmlns:xlrd2="http://schemas.microsoft.com/office/spreadsheetml/2017/richdata2" ref="A6:L85">
    <sortCondition ref="A5:A85"/>
  </sortState>
  <tableColumns count="12">
    <tableColumn id="1" xr3:uid="{BA00FC7C-3937-4628-8369-909B941F734E}" name="ID" dataDxfId="263"/>
    <tableColumn id="2" xr3:uid="{C77C9F32-3BF7-4844-8497-1BEE858CE6BD}" name="Rakennetyyppi" dataDxfId="262"/>
    <tableColumn id="3" xr3:uid="{264C8CDD-2E52-4FF4-ABEC-67B20CB396A3}" name="Nimi" dataDxfId="261"/>
    <tableColumn id="4" xr3:uid="{89FD255E-A35E-4AAB-9D79-5270F5E928E0}" name="Rakennekerroksen paksuus" dataDxfId="260"/>
    <tableColumn id="5" xr3:uid="{A4D27025-8899-47F5-8329-731D17C63FE7}" name="Rakennekerros/-osan tilavuus" dataDxfId="259"/>
    <tableColumn id="6" xr3:uid="{00760674-2AEF-45D4-BDE5-9870207FDA24}" name="Massa" dataDxfId="258"/>
    <tableColumn id="7" xr3:uid="{35E8A2E9-1C71-4E3D-841C-23F70E0F272B}" name="Muunnoskerroin" dataDxfId="257"/>
    <tableColumn id="8" xr3:uid="{6B289CB7-26E2-412F-9D09-9848349893D4}" name="Hiilijalanjälki" dataDxfId="256"/>
    <tableColumn id="9" xr3:uid="{5A2687D8-E529-4DC7-8497-BA5856BDC0A4}" name="kgCO2" dataDxfId="255">
      <calculatedColumnFormula>(G6*E6)*H6</calculatedColumnFormula>
    </tableColumn>
    <tableColumn id="10" xr3:uid="{BBCEDBB4-AC4B-4CD6-86F0-E4E7CAEB414A}" name="Hiilikädenjälki" dataDxfId="254"/>
    <tableColumn id="11" xr3:uid="{6BFAE884-4F52-4CF9-BBCD-18182100B591}" name="kgCO22" dataDxfId="253">
      <calculatedColumnFormula>(G6*E6)*J6</calculatedColumnFormula>
    </tableColumn>
    <tableColumn id="13" xr3:uid="{4D0A6F80-E896-44B4-88F5-75F6CD18E5C8}" name="Rakenneosan tyyppi" dataDxfId="252"/>
  </tableColumns>
  <tableStyleInfo name="TableStyleLight9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41B3AF2E-AB27-4CD7-9575-4003E60BD03F}" name="Table4" displayName="Table4" ref="A5:M85" totalsRowShown="0" headerRowDxfId="96" dataDxfId="95" tableBorderDxfId="94">
  <autoFilter ref="A5:M85" xr:uid="{17F89369-2495-4E24-B5F3-F088E31ECE42}"/>
  <sortState xmlns:xlrd2="http://schemas.microsoft.com/office/spreadsheetml/2017/richdata2" ref="A6:M85">
    <sortCondition ref="B5:B85"/>
  </sortState>
  <tableColumns count="13">
    <tableColumn id="1" xr3:uid="{057D27B1-D748-4288-B2C8-927F3166F980}" name="ID" dataDxfId="93"/>
    <tableColumn id="2" xr3:uid="{4E289E74-19F7-4291-9FA3-6B0F4626CE40}" name="Rakennetyyppi" dataDxfId="92"/>
    <tableColumn id="3" xr3:uid="{BC461B70-190F-4584-8A5E-C4687273C55D}" name="Nimi" dataDxfId="91"/>
    <tableColumn id="4" xr3:uid="{4D3E2ED1-CE9D-4CF7-88D6-6DD936ED571F}" name="Paksuus" dataDxfId="90"/>
    <tableColumn id="5" xr3:uid="{054106A7-9E78-46B4-ACDE-8ACF6138DA0D}" name="Tilavuus" dataDxfId="89"/>
    <tableColumn id="6" xr3:uid="{55171C83-B3FB-44F4-B863-08571DFE296C}" name="Massa" dataDxfId="88"/>
    <tableColumn id="7" xr3:uid="{D3D9FA17-C8AC-4AEE-B9F7-0C938640FFE7}" name="Muunnoskerroin" dataDxfId="87"/>
    <tableColumn id="8" xr3:uid="{73AD4A90-3B69-4B5A-8EDD-2D764974FBEE}" name="Hiilijalanjälki" dataDxfId="86"/>
    <tableColumn id="9" xr3:uid="{A23D2AF7-D8B9-41F0-93C4-048B3DA6E344}" name="kgCO2" dataDxfId="85">
      <calculatedColumnFormula>(G6*E6)*H6</calculatedColumnFormula>
    </tableColumn>
    <tableColumn id="10" xr3:uid="{D257EE8C-B2E7-46E2-AA52-B84AA342E9DC}" name="Hiilikädenjälki" dataDxfId="84"/>
    <tableColumn id="11" xr3:uid="{BFC95996-E22B-4C60-B47D-8F455C16201A}" name="kgCO22" dataDxfId="83">
      <calculatedColumnFormula>(G6*E6)*J6</calculatedColumnFormula>
    </tableColumn>
    <tableColumn id="12" xr3:uid="{22C8E561-F632-4CA6-9B7E-8396851C1850}" name="Hinta" dataDxfId="82"/>
    <tableColumn id="13" xr3:uid="{8AA18245-3B7C-4799-9D0E-6A46424FD7E7}" name="Tyyppi" dataDxfId="81"/>
  </tableColumns>
  <tableStyleInfo name="TableStyleLight9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86B4B864-0458-4EF8-B343-5918A05F801F}" name="Table5" displayName="Table5" ref="A5:M81" totalsRowShown="0" headerRowDxfId="80" dataDxfId="79" tableBorderDxfId="78">
  <autoFilter ref="A5:M81" xr:uid="{06EF23D2-3D89-4016-BB7B-BF49BC05D69D}"/>
  <sortState xmlns:xlrd2="http://schemas.microsoft.com/office/spreadsheetml/2017/richdata2" ref="A6:M81">
    <sortCondition descending="1" ref="B5:B81"/>
  </sortState>
  <tableColumns count="13">
    <tableColumn id="1" xr3:uid="{38B301C4-DE37-4275-8880-7B56CB96CB2C}" name="ID" dataDxfId="77"/>
    <tableColumn id="2" xr3:uid="{120E0FD6-5097-4B91-AC7F-60F2DECD51A8}" name="Rakennetyyppi" dataDxfId="76"/>
    <tableColumn id="3" xr3:uid="{FE4B900B-F26E-4E2E-8CA5-0C8BDD28650F}" name="Nimi" dataDxfId="75"/>
    <tableColumn id="4" xr3:uid="{D919F248-2820-4696-9D17-CE46C01CB84D}" name="Paksuus" dataDxfId="74"/>
    <tableColumn id="5" xr3:uid="{B5C46E98-A1DA-49A1-8675-3AE2A6C9C460}" name="Tilavuus" dataDxfId="73"/>
    <tableColumn id="6" xr3:uid="{E4CCBBC0-2031-4C7A-BA32-CE2CEF8AA2AB}" name="Massa" dataDxfId="72"/>
    <tableColumn id="7" xr3:uid="{8577BE69-BADA-46B6-A3CA-228773A2BFBB}" name="Muunnoskerroin" dataDxfId="71"/>
    <tableColumn id="8" xr3:uid="{72B0885A-765F-454A-8460-55A5E9A09344}" name="Hiilijalanjälki" dataDxfId="70"/>
    <tableColumn id="9" xr3:uid="{9C215434-3446-4099-B151-A5459E43129B}" name="kgCO2" dataDxfId="69">
      <calculatedColumnFormula>(G6*E6)*H6</calculatedColumnFormula>
    </tableColumn>
    <tableColumn id="10" xr3:uid="{0AAFD2B7-2097-4FEC-ADC7-D89F8D9C79A8}" name="Hiilikädenjälki" dataDxfId="68"/>
    <tableColumn id="11" xr3:uid="{B4882B1E-AAE5-4FD7-AEC9-A595AE6C6E4E}" name="kgCO22" dataDxfId="67">
      <calculatedColumnFormula>(G6*E6)*J6</calculatedColumnFormula>
    </tableColumn>
    <tableColumn id="12" xr3:uid="{D9864427-9AE2-4299-8606-641CD1E1EE44}" name="Hinta" dataDxfId="66"/>
    <tableColumn id="13" xr3:uid="{98BF0B66-28BD-4228-B545-E6B2D19E1AF5}" name="Tyyppi" dataDxfId="65"/>
  </tableColumns>
  <tableStyleInfo name="TableStyleLight9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B5B439F1-613E-4266-9EB6-FF4CBFE0AA35}" name="Table6" displayName="Table6" ref="A5:M85" totalsRowShown="0" headerRowDxfId="64" dataDxfId="63" tableBorderDxfId="62">
  <autoFilter ref="A5:M85" xr:uid="{59693250-FEFE-4EE2-B7D1-33E7F182D943}"/>
  <sortState xmlns:xlrd2="http://schemas.microsoft.com/office/spreadsheetml/2017/richdata2" ref="A6:M85">
    <sortCondition descending="1" ref="B5:B85"/>
  </sortState>
  <tableColumns count="13">
    <tableColumn id="1" xr3:uid="{DCDD2B38-2A1D-4133-9814-2EE3E19A8DCF}" name="ID" dataDxfId="61"/>
    <tableColumn id="2" xr3:uid="{517F1AB8-86FE-4E2E-8A95-F5D852372AEE}" name="Rakennetyyppi" dataDxfId="60"/>
    <tableColumn id="3" xr3:uid="{F656B64A-9C20-4F46-B162-A5811D07EF19}" name="Nimi" dataDxfId="59"/>
    <tableColumn id="4" xr3:uid="{8843DFF6-6F10-4CEF-8DC3-7141E5B069B0}" name="Paksuus" dataDxfId="58"/>
    <tableColumn id="5" xr3:uid="{7A9BFCEF-EF5D-4964-BE37-6B11C53B2B9A}" name="Tilavuus" dataDxfId="57"/>
    <tableColumn id="6" xr3:uid="{E135687F-90B4-4A1E-BEB1-300E6F1837CA}" name="Massa" dataDxfId="56"/>
    <tableColumn id="7" xr3:uid="{78F17B51-CA3F-4DD9-8BDD-827AA6AF5E4C}" name="Muunnoskerroin" dataDxfId="55"/>
    <tableColumn id="8" xr3:uid="{3EAA96CD-3424-4B07-B227-5CA04C87DC3A}" name="Hiilijalanjälki" dataDxfId="54"/>
    <tableColumn id="9" xr3:uid="{41BF9658-89FF-447C-932C-46FDDB20695C}" name="kgCO2" dataDxfId="53">
      <calculatedColumnFormula>(G6*E6)*H6</calculatedColumnFormula>
    </tableColumn>
    <tableColumn id="10" xr3:uid="{F5D5E353-497C-4648-A053-2F8EBD26C841}" name="Hiilikädenjälki" dataDxfId="52"/>
    <tableColumn id="11" xr3:uid="{22C0BBD1-7C3A-405D-AF26-FF2BF56FFE8D}" name="kgCO22" dataDxfId="51">
      <calculatedColumnFormula>(G6*E6)*J6</calculatedColumnFormula>
    </tableColumn>
    <tableColumn id="12" xr3:uid="{0BAFFABE-39AD-4D85-8E3B-7B05D3A0AD2D}" name="Hinta" dataDxfId="50"/>
    <tableColumn id="13" xr3:uid="{79A00415-CB45-426D-A6D5-5EE4E205CF02}" name="Tyyppi" dataDxfId="49"/>
  </tableColumns>
  <tableStyleInfo name="TableStyleLight9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9DF6D7B-179B-458F-A3B6-998C9214DA35}" name="Table2" displayName="Table2" ref="A5:M85" totalsRowShown="0" headerRowDxfId="47" dataDxfId="46" tableBorderDxfId="45">
  <autoFilter ref="A5:M85" xr:uid="{E0A0F9C8-1998-4E8B-9FBC-904E62C92B6E}"/>
  <sortState xmlns:xlrd2="http://schemas.microsoft.com/office/spreadsheetml/2017/richdata2" ref="A6:M85">
    <sortCondition descending="1" ref="B5:B85"/>
  </sortState>
  <tableColumns count="13">
    <tableColumn id="1" xr3:uid="{CCDA01B3-857A-4588-8418-0222F453EE80}" name="Column1" dataDxfId="44"/>
    <tableColumn id="2" xr3:uid="{576254AD-9487-424E-B7D3-2E3419CB6296}" name="Column2" dataDxfId="43"/>
    <tableColumn id="3" xr3:uid="{2291872B-FB8F-4441-9D49-C6A1FBD4C15E}" name="Nimi" dataDxfId="42"/>
    <tableColumn id="4" xr3:uid="{9E093597-B0DB-4B03-8A90-5199749228CC}" name="Paksuus" dataDxfId="41"/>
    <tableColumn id="5" xr3:uid="{D06FCF57-3724-4C1F-A99F-5D17009C35B4}" name="Tilavuus" dataDxfId="40"/>
    <tableColumn id="6" xr3:uid="{7019D0BF-DAFB-458B-9236-A7362CA4B1B2}" name="Massa" dataDxfId="39"/>
    <tableColumn id="7" xr3:uid="{2959E985-618B-4836-88F4-C5E551D15867}" name="Muunnoskerroin" dataDxfId="38"/>
    <tableColumn id="8" xr3:uid="{6E90912E-2E68-4729-9E01-741C4618F506}" name="Hiilijalanjälki" dataDxfId="37"/>
    <tableColumn id="9" xr3:uid="{A4F8C0B3-C9C8-4E27-BE5B-A1190561BB33}" name="kgCO2" dataDxfId="36">
      <calculatedColumnFormula>(G6*E6)*H6</calculatedColumnFormula>
    </tableColumn>
    <tableColumn id="10" xr3:uid="{E9758DBA-B632-4907-9195-DDEAD589EBED}" name="Hiilkädenjälki" dataDxfId="35"/>
    <tableColumn id="11" xr3:uid="{36F63353-16ED-4E61-81BA-B1FE2CA72F20}" name="kgCO22" dataDxfId="34">
      <calculatedColumnFormula>(G6*E6)*J6</calculatedColumnFormula>
    </tableColumn>
    <tableColumn id="12" xr3:uid="{A54360EC-0DD1-43E2-9843-A19CAB8C544B}" name="Hinta" dataDxfId="33"/>
    <tableColumn id="13" xr3:uid="{CBD681B3-2D16-42B4-AE8A-3DAEE71F1121}" name="Tyyppi" dataDxfId="32"/>
  </tableColumns>
  <tableStyleInfo name="TableStyleLight9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26BB57E8-6A6E-41F2-ABBC-2EF6FBB3E927}" name="Table3" displayName="Table3" ref="A7:K92" totalsRowShown="0" headerRowDxfId="31" dataDxfId="30" tableBorderDxfId="29">
  <autoFilter ref="A7:K92" xr:uid="{4C52061F-F953-42A9-8BA9-6E8713950AF1}"/>
  <sortState xmlns:xlrd2="http://schemas.microsoft.com/office/spreadsheetml/2017/richdata2" ref="A8:K92">
    <sortCondition descending="1" ref="B7:B92"/>
  </sortState>
  <tableColumns count="11">
    <tableColumn id="1" xr3:uid="{72DB57B8-D93A-499F-BFF2-6EAFD667BCC3}" name="ID" dataDxfId="28"/>
    <tableColumn id="2" xr3:uid="{77D486E6-8D66-42BC-8527-40DF8AB41A82}" name="Rakennetyyppi" dataDxfId="27"/>
    <tableColumn id="3" xr3:uid="{1BA2F658-850E-4D67-8542-BFC3252CC73A}" name="Nimi" dataDxfId="26"/>
    <tableColumn id="4" xr3:uid="{5F22CC7A-AC20-45F8-9007-5F9AA296D57D}" name="Paksuus" dataDxfId="25"/>
    <tableColumn id="5" xr3:uid="{668AAA1A-D101-4819-8F99-6A21F7441B61}" name="Tilavuus" dataDxfId="24"/>
    <tableColumn id="6" xr3:uid="{1A219089-6445-4971-9D68-BB1C66FC8018}" name="Hiilijalanjälki" dataDxfId="23"/>
    <tableColumn id="7" xr3:uid="{EEDFF160-813E-4CED-931F-2B9383C92E1A}" name="kgCO2" dataDxfId="22">
      <calculatedColumnFormula>(E8*J8)*F8</calculatedColumnFormula>
    </tableColumn>
    <tableColumn id="8" xr3:uid="{6B889BB7-13BF-4DF1-A2A5-38D0BA495324}" name="Hiilikädenjälki" dataDxfId="21"/>
    <tableColumn id="9" xr3:uid="{9F28E826-702F-43EC-B0EA-926572F4816B}" name="kgCO22" dataDxfId="20">
      <calculatedColumnFormula>(E8*J8)*H8</calculatedColumnFormula>
    </tableColumn>
    <tableColumn id="10" xr3:uid="{E053F82B-6756-4054-9F85-6E1D7F98B860}" name="Muunnoskerroin" dataDxfId="19"/>
    <tableColumn id="11" xr3:uid="{15DD70AB-DE32-4B6A-A069-5C839F51F972}" name="Tyyppi" dataDxfId="18"/>
  </tableColumns>
  <tableStyleInfo name="TableStyleLight9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A3704F16-82C2-461C-BF7D-7F89A8485C4F}" name="Table7" displayName="Table7" ref="A5:M48" totalsRowShown="0" headerRowDxfId="15" dataDxfId="14" tableBorderDxfId="13">
  <autoFilter ref="A5:M48" xr:uid="{1C0CA90F-3384-43A5-8960-1C1BF530BBAE}"/>
  <sortState xmlns:xlrd2="http://schemas.microsoft.com/office/spreadsheetml/2017/richdata2" ref="A6:M48">
    <sortCondition descending="1" ref="B5:B48"/>
  </sortState>
  <tableColumns count="13">
    <tableColumn id="1" xr3:uid="{41A3FE7C-02F3-4420-8CD8-CB9AFFE8F31F}" name="ID" dataDxfId="12"/>
    <tableColumn id="2" xr3:uid="{7AC43B48-95DD-451B-94E5-14E4E2E77665}" name="Rakennetyyppi" dataDxfId="11"/>
    <tableColumn id="3" xr3:uid="{ED88B544-D08E-48C9-A260-B2670655A180}" name="Nimi" dataDxfId="10"/>
    <tableColumn id="4" xr3:uid="{C071BBB0-7EEE-4F7B-B02D-B81EC599DBA5}" name="Paksuus" dataDxfId="9"/>
    <tableColumn id="5" xr3:uid="{A6BA7F18-AE28-4A93-88DD-DFEFBAA90CCF}" name="Tilavuus" dataDxfId="8"/>
    <tableColumn id="6" xr3:uid="{2774F558-CD3A-499A-BE8B-9BE190704B9C}" name="Massa" dataDxfId="7"/>
    <tableColumn id="7" xr3:uid="{A5036FC3-ED87-4856-AD58-6077285B10E2}" name="Muunnoskerroin" dataDxfId="6"/>
    <tableColumn id="8" xr3:uid="{FD8A4AF1-ACE5-4F6D-8E40-66ADE680C803}" name="Hiilijalanjälki" dataDxfId="5"/>
    <tableColumn id="9" xr3:uid="{3435BC4A-35BD-4ECE-B36E-2F255514A402}" name="kgCO2" dataDxfId="4">
      <calculatedColumnFormula>(E6*G6)*H6</calculatedColumnFormula>
    </tableColumn>
    <tableColumn id="10" xr3:uid="{2BDA8EDA-80CC-4EF6-8442-6BD209A80BEC}" name="Hiilikädenjälki" dataDxfId="3"/>
    <tableColumn id="11" xr3:uid="{C918BB37-9D36-4FF3-8808-B2EF242B1FAE}" name="kgCO22" dataDxfId="2">
      <calculatedColumnFormula>(E6*G6)*J6</calculatedColumnFormula>
    </tableColumn>
    <tableColumn id="12" xr3:uid="{51703F47-4592-4379-BD20-F9D9D28C48C3}" name="Hinta" dataDxfId="1"/>
    <tableColumn id="13" xr3:uid="{C4D98574-FADD-41EC-B852-1E7A8C0AC40B}" name="Tyyppi" dataDxfId="0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EC031501-B70D-48BB-BB23-3E2B5E102AE9}" name="Table810" displayName="Table810" ref="A5:L82" totalsRowShown="0" headerRowDxfId="249" dataDxfId="248" tableBorderDxfId="247">
  <autoFilter ref="A5:L82" xr:uid="{EC031501-B70D-48BB-BB23-3E2B5E102AE9}"/>
  <sortState xmlns:xlrd2="http://schemas.microsoft.com/office/spreadsheetml/2017/richdata2" ref="A6:L82">
    <sortCondition descending="1" ref="B5:B82"/>
  </sortState>
  <tableColumns count="12">
    <tableColumn id="1" xr3:uid="{6D000616-0EEA-4523-9443-2781D25033A9}" name="ID" dataDxfId="246"/>
    <tableColumn id="2" xr3:uid="{9D946318-7037-4788-ACA1-719A22EBDF8B}" name="Rakennetyyppi" dataDxfId="245"/>
    <tableColumn id="3" xr3:uid="{CB170B6A-DE9D-4850-8586-CF2D05654FCF}" name="Nimi" dataDxfId="244"/>
    <tableColumn id="4" xr3:uid="{8B2E6735-27E1-4595-861C-1C3A7C370909}" name="Rakennekerroksen paksuus" dataDxfId="243"/>
    <tableColumn id="5" xr3:uid="{F82B5A92-9A82-4664-B170-A120DD6F2746}" name="Rakennekerroksen tilavuus" dataDxfId="242"/>
    <tableColumn id="6" xr3:uid="{CD2D1B35-9A6C-425A-B02C-DDD4FE4D9E01}" name="Muunnoskerroin" dataDxfId="241"/>
    <tableColumn id="7" xr3:uid="{2A322832-1DA0-4178-B6C8-D5CA6A124940}" name="Hiilijalanjälki" dataDxfId="240"/>
    <tableColumn id="8" xr3:uid="{CF2DDAD2-5802-47EC-BA52-94F3AC30DF44}" name="kgCO2" dataDxfId="239">
      <calculatedColumnFormula>(F6*E6)*G6</calculatedColumnFormula>
    </tableColumn>
    <tableColumn id="9" xr3:uid="{53B8EEF5-C02D-48EB-A221-47D319ECD30A}" name="Hiilikädenjälki" dataDxfId="238"/>
    <tableColumn id="10" xr3:uid="{6EC7EF48-DA4B-4FF8-B4F0-777AC91635E4}" name="kgCO22" dataDxfId="237">
      <calculatedColumnFormula>(F6*E6)*I6</calculatedColumnFormula>
    </tableColumn>
    <tableColumn id="11" xr3:uid="{E040C966-21A8-428B-AA13-3A621D4BD87C}" name="Hinta" dataDxfId="236"/>
    <tableColumn id="12" xr3:uid="{0EA9E073-6FE0-4457-94C7-D57511E2B526}" name="Tyyppi" dataDxfId="235"/>
  </tableColumns>
  <tableStyleInfo name="TableStyleLight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2E39DAB8-2F17-4E0A-846D-6CAD5C6A833D}" name="Table411" displayName="Table411" ref="A5:M85" totalsRowShown="0" headerRowDxfId="234" dataDxfId="233" tableBorderDxfId="232">
  <autoFilter ref="A5:M85" xr:uid="{2E39DAB8-2F17-4E0A-846D-6CAD5C6A833D}"/>
  <sortState xmlns:xlrd2="http://schemas.microsoft.com/office/spreadsheetml/2017/richdata2" ref="A6:M85">
    <sortCondition ref="F5:F85"/>
  </sortState>
  <tableColumns count="13">
    <tableColumn id="1" xr3:uid="{D6864F38-2825-420A-9157-CC767AC1F880}" name="ID" dataDxfId="231"/>
    <tableColumn id="2" xr3:uid="{8F0A9172-C19E-40C8-A2C4-460B9D4DF725}" name="Rakennetyyppi" dataDxfId="230"/>
    <tableColumn id="3" xr3:uid="{009F5A7D-C324-4363-AF5B-56C3C50850D7}" name="Nimi" dataDxfId="229"/>
    <tableColumn id="4" xr3:uid="{40DE2784-53DF-4191-A0BD-48DABE0C3D4B}" name="Paksuus" dataDxfId="228"/>
    <tableColumn id="5" xr3:uid="{85BB76E9-1320-4E1F-AFD6-AD045797BDC9}" name="Tilavuus" dataDxfId="227"/>
    <tableColumn id="6" xr3:uid="{29A76B15-6315-4338-92B6-550F2BC9519F}" name="Massa" dataDxfId="226"/>
    <tableColumn id="7" xr3:uid="{6CF58CF9-F0AF-49A6-8910-172F2ECE077E}" name="Muunnoskerroin" dataDxfId="225"/>
    <tableColumn id="8" xr3:uid="{BF65A782-9F75-4EF2-B81E-5CD1D9FC3058}" name="Hiilijalanjälki" dataDxfId="224"/>
    <tableColumn id="9" xr3:uid="{27D9F284-AA82-4EB9-801E-68D15C0CD093}" name="kgCO2" dataDxfId="223">
      <calculatedColumnFormula>(G6*E6)*H6</calculatedColumnFormula>
    </tableColumn>
    <tableColumn id="10" xr3:uid="{5DA1E0D8-7176-4C38-B057-313A55FF342F}" name="Hiilikädenjälki" dataDxfId="222"/>
    <tableColumn id="11" xr3:uid="{D146717C-73DA-4373-93A1-F39C16DBF290}" name="kgCO22" dataDxfId="221">
      <calculatedColumnFormula>(G6*E6)*J6</calculatedColumnFormula>
    </tableColumn>
    <tableColumn id="12" xr3:uid="{358211C5-042F-4E7F-A0E1-69649E4E2E4A}" name="Hinta" dataDxfId="220"/>
    <tableColumn id="13" xr3:uid="{6C04814C-803E-4FAB-91CD-20870859F078}" name="Tyyppi" dataDxfId="219"/>
  </tableColumns>
  <tableStyleInfo name="TableStyleLight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97E9F9B4-F1F8-44BA-BE01-EDEA6797E633}" name="Table512" displayName="Table512" ref="A14:M90" totalsRowShown="0" headerRowDxfId="218" dataDxfId="217" tableBorderDxfId="216">
  <autoFilter ref="A14:M90" xr:uid="{97E9F9B4-F1F8-44BA-BE01-EDEA6797E633}"/>
  <sortState xmlns:xlrd2="http://schemas.microsoft.com/office/spreadsheetml/2017/richdata2" ref="A15:M90">
    <sortCondition descending="1" ref="B5:B81"/>
  </sortState>
  <tableColumns count="13">
    <tableColumn id="1" xr3:uid="{51D75F67-3428-4286-919E-5EDEBEFF2FA8}" name="ID" dataDxfId="215"/>
    <tableColumn id="2" xr3:uid="{25906B55-4421-4729-8FBF-20B470965252}" name="Rakennetyyppi" dataDxfId="214"/>
    <tableColumn id="3" xr3:uid="{C6E48B40-345C-4389-A97C-FC0DC47B6A3E}" name="Nimi" dataDxfId="213"/>
    <tableColumn id="4" xr3:uid="{C621307D-C502-4BD6-9A88-8EFAD91D7D4A}" name="Paksuus" dataDxfId="212"/>
    <tableColumn id="5" xr3:uid="{9067232E-0C95-4E1C-AF6D-10B9B4FA59CC}" name="Tilavuus" dataDxfId="211"/>
    <tableColumn id="6" xr3:uid="{21CD3489-8D1F-442A-B151-1EB29AD84F52}" name="Massa" dataDxfId="210"/>
    <tableColumn id="7" xr3:uid="{DE4265A8-9529-429A-8D92-39518246224C}" name="Muunnoskerroin" dataDxfId="209"/>
    <tableColumn id="8" xr3:uid="{F1F03F06-6278-4EDA-9F7B-C08C80111EB0}" name="Hiilijalanjälki" dataDxfId="208"/>
    <tableColumn id="9" xr3:uid="{08288E96-A370-4209-B38A-1F53A2CDC363}" name="kgCO2" dataDxfId="207">
      <calculatedColumnFormula>(G15*E15)*H15</calculatedColumnFormula>
    </tableColumn>
    <tableColumn id="10" xr3:uid="{6CE00971-855B-42B6-AE4D-52D23FC4483D}" name="Hiilikädenjälki" dataDxfId="206"/>
    <tableColumn id="11" xr3:uid="{F660627B-F813-4453-A435-65EE0532D5B1}" name="kgCO22" dataDxfId="205">
      <calculatedColumnFormula>(G15*E15)*J15</calculatedColumnFormula>
    </tableColumn>
    <tableColumn id="12" xr3:uid="{FC82CABA-D1E9-4201-AE06-3303CFE8020F}" name="Hinta" dataDxfId="204"/>
    <tableColumn id="13" xr3:uid="{91157960-9416-46CA-92E6-53FDFAC974AF}" name="Tyyppi" dataDxfId="203"/>
  </tableColumns>
  <tableStyleInfo name="TableStyleLight9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FAFA1874-236E-4F4C-98EF-9DF0B31D0555}" name="Table613" displayName="Table613" ref="A5:M85" totalsRowShown="0" headerRowDxfId="202" dataDxfId="201" tableBorderDxfId="200">
  <autoFilter ref="A5:M85" xr:uid="{FAFA1874-236E-4F4C-98EF-9DF0B31D0555}"/>
  <sortState xmlns:xlrd2="http://schemas.microsoft.com/office/spreadsheetml/2017/richdata2" ref="A6:M85">
    <sortCondition descending="1" ref="B5:B85"/>
  </sortState>
  <tableColumns count="13">
    <tableColumn id="1" xr3:uid="{C8C443EC-7139-4F86-A058-D3945D921AC7}" name="ID" dataDxfId="199"/>
    <tableColumn id="2" xr3:uid="{39B41327-A40B-40BD-9DCD-0A2D96306FC1}" name="Rakennetyyppi" dataDxfId="198"/>
    <tableColumn id="3" xr3:uid="{0A1DAD04-9CA3-43B0-BEF1-793A3791C24B}" name="Nimi" dataDxfId="197"/>
    <tableColumn id="4" xr3:uid="{5E2AA00F-661E-4133-8FC8-23237D2392E6}" name="Paksuus" dataDxfId="196"/>
    <tableColumn id="5" xr3:uid="{0BB4EE8B-954C-4267-85FA-05BF2DFBA60D}" name="Tilavuus" dataDxfId="195"/>
    <tableColumn id="6" xr3:uid="{0640B26B-376C-44D3-9FA7-688DE1680804}" name="Massa" dataDxfId="194"/>
    <tableColumn id="7" xr3:uid="{5BD5BBF8-BB0A-4756-9B6C-07A2D696EED6}" name="Muunnoskerroin" dataDxfId="193"/>
    <tableColumn id="8" xr3:uid="{04B18A2E-8888-49DF-8094-8544D379D791}" name="Hiilijalanjälki" dataDxfId="192"/>
    <tableColumn id="9" xr3:uid="{1FB277EF-CDCA-4460-AF6D-71609ACA99CC}" name="kgCO2" dataDxfId="191">
      <calculatedColumnFormula>(G6*E6)*H6</calculatedColumnFormula>
    </tableColumn>
    <tableColumn id="10" xr3:uid="{89A7EA34-C0F0-488B-8212-7C0FA820E09C}" name="Hiilikädenjälki" dataDxfId="190"/>
    <tableColumn id="11" xr3:uid="{139473BE-8305-44A9-ACF8-73809092A5E2}" name="kgCO22" dataDxfId="189">
      <calculatedColumnFormula>(G6*E6)*J6</calculatedColumnFormula>
    </tableColumn>
    <tableColumn id="12" xr3:uid="{9499F1D5-83CE-4626-AF5A-694D322848F3}" name="Hinta" dataDxfId="188"/>
    <tableColumn id="13" xr3:uid="{B8DC66D9-87B6-4E5F-8132-180BB27BA2CA}" name="Tyyppi" dataDxfId="187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9F67BCC8-F5B5-4BA4-97CE-D635C203BE5C}" name="Table214" displayName="Table214" ref="A5:M85" totalsRowShown="0" headerRowDxfId="185" dataDxfId="184" tableBorderDxfId="183">
  <autoFilter ref="A5:M85" xr:uid="{9F67BCC8-F5B5-4BA4-97CE-D635C203BE5C}"/>
  <sortState xmlns:xlrd2="http://schemas.microsoft.com/office/spreadsheetml/2017/richdata2" ref="A6:M85">
    <sortCondition descending="1" ref="B5:B85"/>
  </sortState>
  <tableColumns count="13">
    <tableColumn id="1" xr3:uid="{5E3FB01A-DAFA-4411-BB7F-93993A9172AB}" name="Column1" dataDxfId="182"/>
    <tableColumn id="2" xr3:uid="{3D63414B-BA9F-44C8-B308-41808BB8AAAD}" name="Column2" dataDxfId="181"/>
    <tableColumn id="3" xr3:uid="{F90768A3-A4DD-4921-9AE0-39F990A24E72}" name="Nimi" dataDxfId="180"/>
    <tableColumn id="4" xr3:uid="{995D98C2-40B7-43D7-836F-7E32C2093DF6}" name="Paksuus" dataDxfId="179"/>
    <tableColumn id="5" xr3:uid="{932F60A8-9D85-40C9-9B6E-015CFDBCB78A}" name="Tilavuus" dataDxfId="178"/>
    <tableColumn id="6" xr3:uid="{4EF166E4-2BB8-4689-BD4F-E0112FC7D80E}" name="Massa" dataDxfId="177"/>
    <tableColumn id="7" xr3:uid="{55750ABE-DED0-4C73-977C-AC4E54C43E27}" name="Muunnoskerroin" dataDxfId="176"/>
    <tableColumn id="8" xr3:uid="{FE2325EF-173C-4274-9DB2-6F7FD36C05F1}" name="Hiilijalanjälki" dataDxfId="175"/>
    <tableColumn id="9" xr3:uid="{C5817089-EFFC-4805-9783-1C3D5510D4BD}" name="kgCO2" dataDxfId="174">
      <calculatedColumnFormula>(G6*E6)*H6</calculatedColumnFormula>
    </tableColumn>
    <tableColumn id="10" xr3:uid="{500F7238-8C59-42E6-AA5B-D38BCD9FD36D}" name="Hiilkädenjälki" dataDxfId="173"/>
    <tableColumn id="11" xr3:uid="{2D38A947-E027-4B6F-B530-2579A762A300}" name="kgCO22" dataDxfId="172">
      <calculatedColumnFormula>(G6*E6)*J6</calculatedColumnFormula>
    </tableColumn>
    <tableColumn id="12" xr3:uid="{B0DADDD4-6D83-4BB6-9300-BA22DD3FE408}" name="Hinta" dataDxfId="171"/>
    <tableColumn id="13" xr3:uid="{310608C7-5618-4971-AF7E-623C35C9C359}" name="Tyyppi" dataDxfId="170"/>
  </tableColumns>
  <tableStyleInfo name="TableStyleLight9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FD70D9C7-3F88-4FE5-AAF6-99A9B1EDB791}" name="Table315" displayName="Table315" ref="A7:K92" totalsRowShown="0" headerRowDxfId="169" dataDxfId="168" tableBorderDxfId="167">
  <autoFilter ref="A7:K92" xr:uid="{FD70D9C7-3F88-4FE5-AAF6-99A9B1EDB791}"/>
  <sortState xmlns:xlrd2="http://schemas.microsoft.com/office/spreadsheetml/2017/richdata2" ref="A8:K92">
    <sortCondition descending="1" ref="B7:B92"/>
  </sortState>
  <tableColumns count="11">
    <tableColumn id="1" xr3:uid="{51DBFF41-7911-4557-AD34-00491E33C111}" name="ID" dataDxfId="166"/>
    <tableColumn id="2" xr3:uid="{B99B844B-621F-4437-A406-2490FD418AC6}" name="Rakennetyyppi" dataDxfId="165"/>
    <tableColumn id="3" xr3:uid="{794BB1AD-A9EA-4F42-BD64-87D3E5A47526}" name="Nimi" dataDxfId="164"/>
    <tableColumn id="4" xr3:uid="{8517095F-6F13-4F93-920F-2C503BFE9544}" name="Paksuus" dataDxfId="163"/>
    <tableColumn id="5" xr3:uid="{1B5AA7D5-C538-4F4E-9D81-E8E404D053C8}" name="Tilavuus" dataDxfId="162"/>
    <tableColumn id="6" xr3:uid="{3FA74269-AF87-4E20-9733-7603EABAFDA5}" name="Hiilijalanjälki" dataDxfId="161"/>
    <tableColumn id="7" xr3:uid="{E4710496-C126-4434-A208-E7BD3E97A730}" name="kgCO2" dataDxfId="160">
      <calculatedColumnFormula>(E8*J8)*F8</calculatedColumnFormula>
    </tableColumn>
    <tableColumn id="8" xr3:uid="{7A9DD70F-07E3-4D90-A2B7-56BA81DFB89A}" name="Hiilikädenjälki" dataDxfId="159"/>
    <tableColumn id="9" xr3:uid="{1D42AAD5-89FB-485F-81FF-D20518B05D47}" name="kgCO22" dataDxfId="158">
      <calculatedColumnFormula>(E8*J8)*H8</calculatedColumnFormula>
    </tableColumn>
    <tableColumn id="10" xr3:uid="{13543FD3-E233-417C-806A-A91B68B414E3}" name="Muunnoskerroin" dataDxfId="157"/>
    <tableColumn id="11" xr3:uid="{0DA177F3-C227-4572-B530-AB697BE374E0}" name="Tyyppi" dataDxfId="156"/>
  </tableColumns>
  <tableStyleInfo name="TableStyleLight9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93EA5DD9-3317-4B92-A5C0-E2A41A9C5AC8}" name="Table716" displayName="Table716" ref="A5:M48" totalsRowShown="0" headerRowDxfId="153" dataDxfId="152" tableBorderDxfId="151">
  <autoFilter ref="A5:M48" xr:uid="{93EA5DD9-3317-4B92-A5C0-E2A41A9C5AC8}"/>
  <sortState xmlns:xlrd2="http://schemas.microsoft.com/office/spreadsheetml/2017/richdata2" ref="A6:M48">
    <sortCondition descending="1" ref="B5:B48"/>
  </sortState>
  <tableColumns count="13">
    <tableColumn id="1" xr3:uid="{9CF3E9FA-AB49-44B0-B9CD-FAF45B780B2D}" name="ID" dataDxfId="150"/>
    <tableColumn id="2" xr3:uid="{A5C3989E-7210-45A4-8AEB-2A264E53A147}" name="Rakennetyyppi" dataDxfId="149"/>
    <tableColumn id="3" xr3:uid="{8B39D4F1-4C11-41DA-824D-B4D9DC80FD17}" name="Nimi" dataDxfId="148"/>
    <tableColumn id="4" xr3:uid="{C283EC10-FEF3-4790-9818-637708BB2474}" name="Paksuus" dataDxfId="147"/>
    <tableColumn id="5" xr3:uid="{F51D42C0-59BF-4CD5-BF89-25DCB78BA50F}" name="Tilavuus" dataDxfId="146"/>
    <tableColumn id="6" xr3:uid="{6CE275D1-9E3F-44D7-B206-7AC512846E3F}" name="Massa" dataDxfId="145"/>
    <tableColumn id="7" xr3:uid="{85B42A76-45E6-43A9-892B-EC7107E37E7E}" name="Muunnoskerroin" dataDxfId="144"/>
    <tableColumn id="8" xr3:uid="{2DE1C82E-5317-4F0D-8BF5-D7EF18EE7634}" name="Hiilijalanjälki" dataDxfId="143"/>
    <tableColumn id="9" xr3:uid="{7DCA0D1E-41CD-4031-BEB1-FD9C7AC92913}" name="kgCO2" dataDxfId="142">
      <calculatedColumnFormula>(E6*G6)*H6</calculatedColumnFormula>
    </tableColumn>
    <tableColumn id="10" xr3:uid="{050DC68A-723A-44FD-B76E-AA4A8B67A32A}" name="Hiilikädenjälki" dataDxfId="141"/>
    <tableColumn id="11" xr3:uid="{05A5A66C-47E9-4E47-8EA7-18EDF95EB900}" name="kgCO22" dataDxfId="140">
      <calculatedColumnFormula>(E6*G6)*J6</calculatedColumnFormula>
    </tableColumn>
    <tableColumn id="12" xr3:uid="{6A2EB427-75A4-4749-8D6D-B3416A2AC28B}" name="Hinta" dataDxfId="139"/>
    <tableColumn id="13" xr3:uid="{94CFFD92-69B8-4650-A5D2-094AF30BDFD5}" name="Tyyppi" dataDxfId="138"/>
  </tableColumns>
  <tableStyleInfo name="TableStyleLight9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B727393B-2FBE-4F5F-B99A-A74F0ADC39D8}" name="Table8" displayName="Table8" ref="A5:L82" totalsRowShown="0" headerRowDxfId="111" dataDxfId="110" tableBorderDxfId="109">
  <autoFilter ref="A5:L82" xr:uid="{DBAFB0EE-4C8B-4E28-B3CD-01FAEBFCBEB1}"/>
  <sortState xmlns:xlrd2="http://schemas.microsoft.com/office/spreadsheetml/2017/richdata2" ref="A6:L82">
    <sortCondition descending="1" ref="B5:B82"/>
  </sortState>
  <tableColumns count="12">
    <tableColumn id="1" xr3:uid="{D45F1E43-EFDC-46D2-A60C-CF6A8A87D36B}" name="ID" dataDxfId="108"/>
    <tableColumn id="2" xr3:uid="{B47E1957-7077-4C73-B5CA-64447FB48042}" name="Rakennetyyppi" dataDxfId="107"/>
    <tableColumn id="3" xr3:uid="{BE6C0FE2-2446-4195-96D5-D9574B74B772}" name="Nimi" dataDxfId="106"/>
    <tableColumn id="4" xr3:uid="{7A40E989-F3D1-4613-ADCD-D9CF90EAC3CE}" name="Rakennekerroksen paksuus" dataDxfId="105"/>
    <tableColumn id="5" xr3:uid="{4F6B6D73-3784-47B7-B3B8-C5E2EFE27F33}" name="Rakennekerroksen tilavuus" dataDxfId="104"/>
    <tableColumn id="6" xr3:uid="{E907CE70-39FC-4ACF-B509-25EFFFFC7B4B}" name="Muunnoskerroin" dataDxfId="103"/>
    <tableColumn id="7" xr3:uid="{7996516E-33E6-487A-9177-060B82E441D4}" name="Hiilijalanjälki" dataDxfId="102"/>
    <tableColumn id="8" xr3:uid="{401792F7-8F2C-47CA-8FAF-CE433277F982}" name="kgCO2" dataDxfId="101">
      <calculatedColumnFormula>(F6*E6)*G6</calculatedColumnFormula>
    </tableColumn>
    <tableColumn id="9" xr3:uid="{6458365F-8533-494F-89AC-1151E7F6952B}" name="Hiilikädenjälki" dataDxfId="100"/>
    <tableColumn id="10" xr3:uid="{83E03F5F-F324-4FF7-8096-8832EA3276FF}" name="kgCO22" dataDxfId="99">
      <calculatedColumnFormula>(F6*E6)*I6</calculatedColumnFormula>
    </tableColumn>
    <tableColumn id="11" xr3:uid="{A32FE43B-863D-494D-B2EF-961AC6127AE2}" name="Hinta" dataDxfId="98"/>
    <tableColumn id="12" xr3:uid="{7FBB6B22-8EB8-405D-BB6B-BA073522403A}" name="Tyyppi" dataDxfId="97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o2data.fi/" TargetMode="External"/><Relationship Id="rId2" Type="http://schemas.openxmlformats.org/officeDocument/2006/relationships/hyperlink" Target="https://www.elementtisuunnittelu.fi/rakennejarjestelmat/asuinrakennukset" TargetMode="External"/><Relationship Id="rId1" Type="http://schemas.openxmlformats.org/officeDocument/2006/relationships/hyperlink" Target="https://puuinfo.fi/suunnittelu/mitoitustyokalu/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3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4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5.xml"/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47823C-BADD-46C7-9DAE-42119AE9D9C3}">
  <sheetPr codeName="Taul12"/>
  <dimension ref="A42:L46"/>
  <sheetViews>
    <sheetView tabSelected="1" zoomScale="90" zoomScaleNormal="90" workbookViewId="0">
      <selection activeCell="X33" sqref="X33"/>
    </sheetView>
  </sheetViews>
  <sheetFormatPr defaultRowHeight="14.5" x14ac:dyDescent="0.35"/>
  <sheetData>
    <row r="42" spans="1:12" x14ac:dyDescent="0.35">
      <c r="L42" s="31" t="s">
        <v>332</v>
      </c>
    </row>
    <row r="43" spans="1:12" x14ac:dyDescent="0.35">
      <c r="L43" s="32" t="s">
        <v>329</v>
      </c>
    </row>
    <row r="44" spans="1:12" x14ac:dyDescent="0.35">
      <c r="L44" s="32" t="s">
        <v>330</v>
      </c>
    </row>
    <row r="45" spans="1:12" x14ac:dyDescent="0.35">
      <c r="A45" s="47" t="s">
        <v>367</v>
      </c>
      <c r="L45" s="32" t="s">
        <v>331</v>
      </c>
    </row>
    <row r="46" spans="1:12" x14ac:dyDescent="0.35">
      <c r="A46" s="47" t="s">
        <v>368</v>
      </c>
    </row>
  </sheetData>
  <sheetProtection algorithmName="SHA-512" hashValue="Ji/A4CFxCWXWoxV0P8c0YdZz8SXtQWkOnr/itaqLQLrzifiSxGwBMjapr5T2oU/EHhlwhAQLst3x0TxrZWGwzQ==" saltValue="93usDdMFaRlBJQZ9HjUBQQ==" spinCount="100000" sheet="1" objects="1" scenarios="1"/>
  <hyperlinks>
    <hyperlink ref="L43" r:id="rId1" xr:uid="{A96BC15B-9614-4DEF-866D-E65128210006}"/>
    <hyperlink ref="L44" r:id="rId2" xr:uid="{AFB85BAA-04C4-44D9-A2DE-84E11315C648}"/>
    <hyperlink ref="L45" r:id="rId3" xr:uid="{3BD02DDA-1A55-4B71-9992-BEDA597842AE}"/>
  </hyperlinks>
  <pageMargins left="0.7" right="0.7" top="0.75" bottom="0.75" header="0.3" footer="0.3"/>
  <pageSetup paperSize="9" orientation="portrait" verticalDpi="0" r:id="rId4"/>
  <drawing r:id="rId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E9BD58-2D0C-45DA-94ED-BD5383F51FBD}">
  <dimension ref="A1:N56"/>
  <sheetViews>
    <sheetView topLeftCell="A64" workbookViewId="0">
      <selection activeCell="P6" sqref="P6"/>
    </sheetView>
  </sheetViews>
  <sheetFormatPr defaultRowHeight="14.5" x14ac:dyDescent="0.35"/>
  <cols>
    <col min="4" max="5" width="8.81640625" bestFit="1" customWidth="1"/>
    <col min="6" max="6" width="11.6328125" bestFit="1" customWidth="1"/>
    <col min="7" max="11" width="8.81640625" bestFit="1" customWidth="1"/>
  </cols>
  <sheetData>
    <row r="1" spans="1:14" ht="17.5" x14ac:dyDescent="0.45">
      <c r="A1" s="163" t="s">
        <v>350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</row>
    <row r="2" spans="1:14" ht="17.5" x14ac:dyDescent="0.45">
      <c r="A2" s="163"/>
      <c r="B2" s="163"/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163"/>
      <c r="N2" s="163"/>
    </row>
    <row r="3" spans="1:14" ht="17.5" x14ac:dyDescent="0.45">
      <c r="A3" s="266" t="s">
        <v>151</v>
      </c>
      <c r="B3" s="266"/>
      <c r="C3" s="266"/>
      <c r="D3" s="266"/>
      <c r="E3" s="266"/>
      <c r="F3" s="266"/>
      <c r="G3" s="266"/>
      <c r="H3" s="266"/>
      <c r="I3" s="266"/>
      <c r="J3" s="266"/>
      <c r="K3" s="266"/>
      <c r="L3" s="171"/>
      <c r="M3" s="171"/>
      <c r="N3" s="163"/>
    </row>
    <row r="4" spans="1:14" ht="87.5" x14ac:dyDescent="0.45">
      <c r="A4" s="136" t="s">
        <v>36</v>
      </c>
      <c r="B4" s="136" t="s">
        <v>37</v>
      </c>
      <c r="C4" s="136" t="s">
        <v>38</v>
      </c>
      <c r="D4" s="136" t="s">
        <v>39</v>
      </c>
      <c r="E4" s="136" t="s">
        <v>40</v>
      </c>
      <c r="F4" s="136" t="s">
        <v>41</v>
      </c>
      <c r="G4" s="136" t="s">
        <v>42</v>
      </c>
      <c r="H4" s="172" t="s">
        <v>43</v>
      </c>
      <c r="I4" s="172" t="s">
        <v>44</v>
      </c>
      <c r="J4" s="172" t="s">
        <v>45</v>
      </c>
      <c r="K4" s="172" t="s">
        <v>44</v>
      </c>
      <c r="L4" s="136" t="s">
        <v>152</v>
      </c>
      <c r="M4" s="136" t="s">
        <v>47</v>
      </c>
      <c r="N4" s="163"/>
    </row>
    <row r="5" spans="1:14" ht="52.5" x14ac:dyDescent="0.45">
      <c r="A5" s="155" t="s">
        <v>36</v>
      </c>
      <c r="B5" s="156" t="s">
        <v>37</v>
      </c>
      <c r="C5" s="156" t="s">
        <v>38</v>
      </c>
      <c r="D5" s="156" t="s">
        <v>265</v>
      </c>
      <c r="E5" s="156" t="s">
        <v>264</v>
      </c>
      <c r="F5" s="156" t="s">
        <v>113</v>
      </c>
      <c r="G5" s="156" t="s">
        <v>114</v>
      </c>
      <c r="H5" s="173" t="s">
        <v>115</v>
      </c>
      <c r="I5" s="171" t="s">
        <v>44</v>
      </c>
      <c r="J5" s="173" t="s">
        <v>116</v>
      </c>
      <c r="K5" s="171" t="s">
        <v>117</v>
      </c>
      <c r="L5" s="156" t="s">
        <v>152</v>
      </c>
      <c r="M5" s="157" t="s">
        <v>263</v>
      </c>
      <c r="N5" s="163"/>
    </row>
    <row r="6" spans="1:14" ht="70" x14ac:dyDescent="0.45">
      <c r="A6" s="155" t="s">
        <v>95</v>
      </c>
      <c r="B6" s="156" t="s">
        <v>153</v>
      </c>
      <c r="C6" s="156" t="s">
        <v>31</v>
      </c>
      <c r="D6" s="156">
        <v>270</v>
      </c>
      <c r="E6" s="156">
        <v>116.8</v>
      </c>
      <c r="F6" s="156">
        <v>151849.29999999999</v>
      </c>
      <c r="G6" s="156">
        <v>382</v>
      </c>
      <c r="H6" s="173">
        <v>0.17</v>
      </c>
      <c r="I6" s="171">
        <f t="shared" ref="I6:I48" si="0">(E6*G6)*H6</f>
        <v>7584.9920000000002</v>
      </c>
      <c r="J6" s="173">
        <v>0</v>
      </c>
      <c r="K6" s="171">
        <f t="shared" ref="K6:K48" si="1">(E6*G6)*J6</f>
        <v>0</v>
      </c>
      <c r="L6" s="156" t="s">
        <v>53</v>
      </c>
      <c r="M6" s="157" t="s">
        <v>54</v>
      </c>
      <c r="N6" s="163"/>
    </row>
    <row r="7" spans="1:14" ht="87.5" x14ac:dyDescent="0.45">
      <c r="A7" s="155" t="s">
        <v>75</v>
      </c>
      <c r="B7" s="156" t="s">
        <v>153</v>
      </c>
      <c r="C7" s="156" t="s">
        <v>76</v>
      </c>
      <c r="D7" s="156">
        <v>450</v>
      </c>
      <c r="E7" s="156">
        <v>194.7</v>
      </c>
      <c r="F7" s="156">
        <v>7787.1</v>
      </c>
      <c r="G7" s="156">
        <v>33</v>
      </c>
      <c r="H7" s="156">
        <v>1.5</v>
      </c>
      <c r="I7" s="171">
        <f t="shared" si="0"/>
        <v>9637.65</v>
      </c>
      <c r="J7" s="156">
        <v>0</v>
      </c>
      <c r="K7" s="171">
        <f t="shared" si="1"/>
        <v>0</v>
      </c>
      <c r="L7" s="156" t="s">
        <v>53</v>
      </c>
      <c r="M7" s="157" t="s">
        <v>57</v>
      </c>
      <c r="N7" s="163"/>
    </row>
    <row r="8" spans="1:14" ht="87.5" x14ac:dyDescent="0.45">
      <c r="A8" s="155" t="s">
        <v>98</v>
      </c>
      <c r="B8" s="156" t="s">
        <v>99</v>
      </c>
      <c r="C8" s="156" t="s">
        <v>100</v>
      </c>
      <c r="D8" s="156">
        <v>125</v>
      </c>
      <c r="E8" s="156">
        <v>13.6</v>
      </c>
      <c r="F8" s="156">
        <v>18951.099999999999</v>
      </c>
      <c r="G8" s="156">
        <v>644</v>
      </c>
      <c r="H8" s="156">
        <v>0.26</v>
      </c>
      <c r="I8" s="171">
        <f t="shared" si="0"/>
        <v>2277.1840000000002</v>
      </c>
      <c r="J8" s="156">
        <v>0</v>
      </c>
      <c r="K8" s="171">
        <f t="shared" si="1"/>
        <v>0</v>
      </c>
      <c r="L8" s="156" t="s">
        <v>53</v>
      </c>
      <c r="M8" s="157" t="s">
        <v>57</v>
      </c>
      <c r="N8" s="163"/>
    </row>
    <row r="9" spans="1:14" ht="87.5" x14ac:dyDescent="0.45">
      <c r="A9" s="155" t="s">
        <v>58</v>
      </c>
      <c r="B9" s="156" t="s">
        <v>108</v>
      </c>
      <c r="C9" s="156" t="s">
        <v>32</v>
      </c>
      <c r="D9" s="156">
        <v>200</v>
      </c>
      <c r="E9" s="156">
        <v>64.8</v>
      </c>
      <c r="F9" s="156">
        <v>155252.5</v>
      </c>
      <c r="G9" s="156">
        <v>2400</v>
      </c>
      <c r="H9" s="156">
        <v>0.19</v>
      </c>
      <c r="I9" s="171">
        <f t="shared" si="0"/>
        <v>29548.799999999999</v>
      </c>
      <c r="J9" s="156">
        <v>0</v>
      </c>
      <c r="K9" s="171">
        <f t="shared" si="1"/>
        <v>0</v>
      </c>
      <c r="L9" s="156" t="s">
        <v>53</v>
      </c>
      <c r="M9" s="157" t="s">
        <v>57</v>
      </c>
      <c r="N9" s="163"/>
    </row>
    <row r="10" spans="1:14" ht="70" x14ac:dyDescent="0.45">
      <c r="A10" s="155" t="s">
        <v>58</v>
      </c>
      <c r="B10" s="156" t="s">
        <v>103</v>
      </c>
      <c r="C10" s="156" t="s">
        <v>32</v>
      </c>
      <c r="D10" s="156">
        <v>300</v>
      </c>
      <c r="E10" s="156">
        <v>15.6</v>
      </c>
      <c r="F10" s="156">
        <v>37482.199999999997</v>
      </c>
      <c r="G10" s="156">
        <v>2400</v>
      </c>
      <c r="H10" s="156">
        <v>0.19</v>
      </c>
      <c r="I10" s="171">
        <f t="shared" si="0"/>
        <v>7113.6</v>
      </c>
      <c r="J10" s="156">
        <v>0</v>
      </c>
      <c r="K10" s="171">
        <f t="shared" si="1"/>
        <v>0</v>
      </c>
      <c r="L10" s="156" t="s">
        <v>53</v>
      </c>
      <c r="M10" s="157" t="s">
        <v>54</v>
      </c>
      <c r="N10" s="163"/>
    </row>
    <row r="11" spans="1:14" ht="70" x14ac:dyDescent="0.45">
      <c r="A11" s="155" t="s">
        <v>58</v>
      </c>
      <c r="B11" s="156" t="s">
        <v>105</v>
      </c>
      <c r="C11" s="156" t="s">
        <v>32</v>
      </c>
      <c r="D11" s="156">
        <v>300</v>
      </c>
      <c r="E11" s="156">
        <v>16.600000000000001</v>
      </c>
      <c r="F11" s="156">
        <v>39910.199999999997</v>
      </c>
      <c r="G11" s="156">
        <v>2400</v>
      </c>
      <c r="H11" s="156">
        <v>0.19</v>
      </c>
      <c r="I11" s="171">
        <f t="shared" si="0"/>
        <v>7569.6</v>
      </c>
      <c r="J11" s="156">
        <v>0</v>
      </c>
      <c r="K11" s="171">
        <f t="shared" si="1"/>
        <v>0</v>
      </c>
      <c r="L11" s="156" t="s">
        <v>53</v>
      </c>
      <c r="M11" s="157" t="s">
        <v>57</v>
      </c>
      <c r="N11" s="163"/>
    </row>
    <row r="12" spans="1:14" ht="70" x14ac:dyDescent="0.45">
      <c r="A12" s="155" t="s">
        <v>79</v>
      </c>
      <c r="B12" s="156" t="s">
        <v>97</v>
      </c>
      <c r="C12" s="156" t="s">
        <v>15</v>
      </c>
      <c r="D12" s="156">
        <v>13</v>
      </c>
      <c r="E12" s="156">
        <v>16.5</v>
      </c>
      <c r="F12" s="156">
        <v>12333.2</v>
      </c>
      <c r="G12" s="156">
        <v>875</v>
      </c>
      <c r="H12" s="156">
        <v>0.28000000000000003</v>
      </c>
      <c r="I12" s="171">
        <f t="shared" si="0"/>
        <v>4042.5000000000005</v>
      </c>
      <c r="J12" s="156">
        <v>0</v>
      </c>
      <c r="K12" s="171">
        <f t="shared" si="1"/>
        <v>0</v>
      </c>
      <c r="L12" s="156" t="s">
        <v>53</v>
      </c>
      <c r="M12" s="157" t="s">
        <v>54</v>
      </c>
      <c r="N12" s="163"/>
    </row>
    <row r="13" spans="1:14" ht="70" x14ac:dyDescent="0.45">
      <c r="A13" s="155" t="s">
        <v>79</v>
      </c>
      <c r="B13" s="156" t="s">
        <v>97</v>
      </c>
      <c r="C13" s="156" t="s">
        <v>15</v>
      </c>
      <c r="D13" s="156">
        <v>13</v>
      </c>
      <c r="E13" s="156">
        <v>16.5</v>
      </c>
      <c r="F13" s="156">
        <v>13396.9</v>
      </c>
      <c r="G13" s="156">
        <v>875</v>
      </c>
      <c r="H13" s="156">
        <v>0.28000000000000003</v>
      </c>
      <c r="I13" s="171">
        <f t="shared" si="0"/>
        <v>4042.5000000000005</v>
      </c>
      <c r="J13" s="156">
        <v>0</v>
      </c>
      <c r="K13" s="171">
        <f t="shared" si="1"/>
        <v>0</v>
      </c>
      <c r="L13" s="156" t="s">
        <v>53</v>
      </c>
      <c r="M13" s="157" t="s">
        <v>57</v>
      </c>
      <c r="N13" s="163"/>
    </row>
    <row r="14" spans="1:14" ht="70" x14ac:dyDescent="0.45">
      <c r="A14" s="155" t="s">
        <v>50</v>
      </c>
      <c r="B14" s="156" t="s">
        <v>97</v>
      </c>
      <c r="C14" s="156" t="s">
        <v>52</v>
      </c>
      <c r="D14" s="156">
        <v>66</v>
      </c>
      <c r="E14" s="156">
        <v>69.3</v>
      </c>
      <c r="F14" s="156">
        <v>36298.300000000003</v>
      </c>
      <c r="G14" s="156">
        <v>61</v>
      </c>
      <c r="H14" s="156">
        <v>1.5</v>
      </c>
      <c r="I14" s="171">
        <f t="shared" si="0"/>
        <v>6340.9500000000007</v>
      </c>
      <c r="J14" s="156">
        <v>0</v>
      </c>
      <c r="K14" s="171">
        <f t="shared" si="1"/>
        <v>0</v>
      </c>
      <c r="L14" s="156" t="s">
        <v>53</v>
      </c>
      <c r="M14" s="157" t="s">
        <v>54</v>
      </c>
      <c r="N14" s="163"/>
    </row>
    <row r="15" spans="1:14" ht="70" x14ac:dyDescent="0.45">
      <c r="A15" s="155" t="s">
        <v>95</v>
      </c>
      <c r="B15" s="156" t="s">
        <v>156</v>
      </c>
      <c r="C15" s="156" t="s">
        <v>30</v>
      </c>
      <c r="D15" s="156">
        <v>120</v>
      </c>
      <c r="E15" s="156">
        <v>13.1</v>
      </c>
      <c r="F15" s="156">
        <v>30820.799999999999</v>
      </c>
      <c r="G15" s="156">
        <v>2375</v>
      </c>
      <c r="H15" s="156">
        <v>0.15</v>
      </c>
      <c r="I15" s="171">
        <f t="shared" si="0"/>
        <v>4666.875</v>
      </c>
      <c r="J15" s="156">
        <v>0</v>
      </c>
      <c r="K15" s="171">
        <f t="shared" si="1"/>
        <v>0</v>
      </c>
      <c r="L15" s="156" t="s">
        <v>53</v>
      </c>
      <c r="M15" s="157" t="s">
        <v>54</v>
      </c>
      <c r="N15" s="163"/>
    </row>
    <row r="16" spans="1:14" ht="157.5" x14ac:dyDescent="0.45">
      <c r="A16" s="155" t="s">
        <v>79</v>
      </c>
      <c r="B16" s="156" t="s">
        <v>93</v>
      </c>
      <c r="C16" s="156" t="s">
        <v>15</v>
      </c>
      <c r="D16" s="156">
        <v>15</v>
      </c>
      <c r="E16" s="156">
        <v>7</v>
      </c>
      <c r="F16" s="156">
        <v>7924.9</v>
      </c>
      <c r="G16" s="156">
        <v>875</v>
      </c>
      <c r="H16" s="156">
        <v>0.28000000000000003</v>
      </c>
      <c r="I16" s="171">
        <f t="shared" si="0"/>
        <v>1715.0000000000002</v>
      </c>
      <c r="J16" s="156">
        <v>0</v>
      </c>
      <c r="K16" s="171">
        <f t="shared" si="1"/>
        <v>0</v>
      </c>
      <c r="L16" s="156" t="s">
        <v>53</v>
      </c>
      <c r="M16" s="157" t="s">
        <v>57</v>
      </c>
      <c r="N16" s="163"/>
    </row>
    <row r="17" spans="1:14" ht="157.5" x14ac:dyDescent="0.45">
      <c r="A17" s="155" t="s">
        <v>50</v>
      </c>
      <c r="B17" s="156" t="s">
        <v>93</v>
      </c>
      <c r="C17" s="156" t="s">
        <v>52</v>
      </c>
      <c r="D17" s="156">
        <v>66</v>
      </c>
      <c r="E17" s="156">
        <v>17.5</v>
      </c>
      <c r="F17" s="156">
        <v>9188.7000000000007</v>
      </c>
      <c r="G17" s="156">
        <v>61</v>
      </c>
      <c r="H17" s="156">
        <v>1.5</v>
      </c>
      <c r="I17" s="171">
        <f t="shared" si="0"/>
        <v>1601.25</v>
      </c>
      <c r="J17" s="156">
        <v>0</v>
      </c>
      <c r="K17" s="171">
        <f t="shared" si="1"/>
        <v>0</v>
      </c>
      <c r="L17" s="156" t="s">
        <v>53</v>
      </c>
      <c r="M17" s="157" t="s">
        <v>54</v>
      </c>
      <c r="N17" s="163"/>
    </row>
    <row r="18" spans="1:14" ht="70" x14ac:dyDescent="0.45">
      <c r="A18" s="155" t="s">
        <v>95</v>
      </c>
      <c r="B18" s="156" t="s">
        <v>157</v>
      </c>
      <c r="C18" s="156" t="s">
        <v>30</v>
      </c>
      <c r="D18" s="156">
        <v>200</v>
      </c>
      <c r="E18" s="156">
        <v>336.3</v>
      </c>
      <c r="F18" s="156">
        <v>806239.3</v>
      </c>
      <c r="G18" s="156">
        <v>2375</v>
      </c>
      <c r="H18" s="156">
        <v>0.15</v>
      </c>
      <c r="I18" s="171">
        <f t="shared" si="0"/>
        <v>119806.875</v>
      </c>
      <c r="J18" s="156">
        <v>0</v>
      </c>
      <c r="K18" s="171">
        <f t="shared" si="1"/>
        <v>0</v>
      </c>
      <c r="L18" s="156" t="s">
        <v>53</v>
      </c>
      <c r="M18" s="157" t="s">
        <v>54</v>
      </c>
      <c r="N18" s="163"/>
    </row>
    <row r="19" spans="1:14" ht="70" x14ac:dyDescent="0.45">
      <c r="A19" s="155" t="s">
        <v>95</v>
      </c>
      <c r="B19" s="156" t="s">
        <v>96</v>
      </c>
      <c r="C19" s="156" t="s">
        <v>30</v>
      </c>
      <c r="D19" s="156">
        <v>300</v>
      </c>
      <c r="E19" s="156">
        <v>3.8</v>
      </c>
      <c r="F19" s="156">
        <v>9014</v>
      </c>
      <c r="G19" s="156">
        <v>2375</v>
      </c>
      <c r="H19" s="156">
        <v>0.15</v>
      </c>
      <c r="I19" s="171">
        <f t="shared" si="0"/>
        <v>1353.75</v>
      </c>
      <c r="J19" s="156">
        <v>0</v>
      </c>
      <c r="K19" s="171">
        <f t="shared" si="1"/>
        <v>0</v>
      </c>
      <c r="L19" s="156" t="s">
        <v>53</v>
      </c>
      <c r="M19" s="157" t="s">
        <v>54</v>
      </c>
      <c r="N19" s="163"/>
    </row>
    <row r="20" spans="1:14" ht="70" x14ac:dyDescent="0.45">
      <c r="A20" s="155" t="s">
        <v>95</v>
      </c>
      <c r="B20" s="156" t="s">
        <v>104</v>
      </c>
      <c r="C20" s="156" t="s">
        <v>30</v>
      </c>
      <c r="D20" s="156">
        <v>200</v>
      </c>
      <c r="E20" s="156">
        <v>16.3</v>
      </c>
      <c r="F20" s="156">
        <v>38202.800000000003</v>
      </c>
      <c r="G20" s="156">
        <v>2375</v>
      </c>
      <c r="H20" s="156">
        <v>0.15</v>
      </c>
      <c r="I20" s="171">
        <f t="shared" si="0"/>
        <v>5806.875</v>
      </c>
      <c r="J20" s="156">
        <v>0</v>
      </c>
      <c r="K20" s="171">
        <f t="shared" si="1"/>
        <v>0</v>
      </c>
      <c r="L20" s="156" t="s">
        <v>53</v>
      </c>
      <c r="M20" s="157" t="s">
        <v>54</v>
      </c>
      <c r="N20" s="163"/>
    </row>
    <row r="21" spans="1:14" ht="52.5" x14ac:dyDescent="0.45">
      <c r="A21" s="155" t="s">
        <v>50</v>
      </c>
      <c r="B21" s="156" t="s">
        <v>155</v>
      </c>
      <c r="C21" s="156" t="s">
        <v>52</v>
      </c>
      <c r="D21" s="156">
        <v>30</v>
      </c>
      <c r="E21" s="156">
        <v>7</v>
      </c>
      <c r="F21" s="156">
        <v>3545.9</v>
      </c>
      <c r="G21" s="156">
        <v>61</v>
      </c>
      <c r="H21" s="156">
        <v>1.5</v>
      </c>
      <c r="I21" s="171">
        <f t="shared" si="0"/>
        <v>640.5</v>
      </c>
      <c r="J21" s="156">
        <v>0</v>
      </c>
      <c r="K21" s="171">
        <f t="shared" si="1"/>
        <v>0</v>
      </c>
      <c r="L21" s="156" t="s">
        <v>53</v>
      </c>
      <c r="M21" s="157" t="s">
        <v>54</v>
      </c>
      <c r="N21" s="163"/>
    </row>
    <row r="22" spans="1:14" ht="52.5" x14ac:dyDescent="0.45">
      <c r="A22" s="155" t="s">
        <v>101</v>
      </c>
      <c r="B22" s="156" t="s">
        <v>155</v>
      </c>
      <c r="C22" s="156" t="s">
        <v>4</v>
      </c>
      <c r="D22" s="156">
        <v>50</v>
      </c>
      <c r="E22" s="156">
        <v>12</v>
      </c>
      <c r="F22" s="156">
        <v>21419.599999999999</v>
      </c>
      <c r="G22" s="156">
        <v>2353</v>
      </c>
      <c r="H22" s="156">
        <v>0.12</v>
      </c>
      <c r="I22" s="171">
        <f t="shared" si="0"/>
        <v>3388.3199999999997</v>
      </c>
      <c r="J22" s="156">
        <v>0</v>
      </c>
      <c r="K22" s="171">
        <f t="shared" si="1"/>
        <v>0</v>
      </c>
      <c r="L22" s="156" t="s">
        <v>53</v>
      </c>
      <c r="M22" s="157" t="s">
        <v>57</v>
      </c>
      <c r="N22" s="163"/>
    </row>
    <row r="23" spans="1:14" ht="70" x14ac:dyDescent="0.45">
      <c r="A23" s="155" t="s">
        <v>95</v>
      </c>
      <c r="B23" s="156" t="s">
        <v>155</v>
      </c>
      <c r="C23" s="156" t="s">
        <v>31</v>
      </c>
      <c r="D23" s="156">
        <v>270</v>
      </c>
      <c r="E23" s="156">
        <v>64.5</v>
      </c>
      <c r="F23" s="156">
        <v>83545.5</v>
      </c>
      <c r="G23" s="156">
        <v>382</v>
      </c>
      <c r="H23" s="156">
        <v>0.17</v>
      </c>
      <c r="I23" s="171">
        <f t="shared" si="0"/>
        <v>4188.63</v>
      </c>
      <c r="J23" s="156">
        <v>0</v>
      </c>
      <c r="K23" s="171">
        <f t="shared" si="1"/>
        <v>0</v>
      </c>
      <c r="L23" s="156" t="s">
        <v>53</v>
      </c>
      <c r="M23" s="157" t="s">
        <v>54</v>
      </c>
      <c r="N23" s="163"/>
    </row>
    <row r="24" spans="1:14" ht="52.5" x14ac:dyDescent="0.45">
      <c r="A24" s="155" t="s">
        <v>50</v>
      </c>
      <c r="B24" s="156" t="s">
        <v>154</v>
      </c>
      <c r="C24" s="156" t="s">
        <v>52</v>
      </c>
      <c r="D24" s="156">
        <v>30</v>
      </c>
      <c r="E24" s="156">
        <v>47.5</v>
      </c>
      <c r="F24" s="156">
        <v>25438</v>
      </c>
      <c r="G24" s="156">
        <v>61</v>
      </c>
      <c r="H24" s="156">
        <v>1.5</v>
      </c>
      <c r="I24" s="171">
        <f t="shared" si="0"/>
        <v>4346.25</v>
      </c>
      <c r="J24" s="156">
        <v>0</v>
      </c>
      <c r="K24" s="171">
        <f t="shared" si="1"/>
        <v>0</v>
      </c>
      <c r="L24" s="156" t="s">
        <v>53</v>
      </c>
      <c r="M24" s="157" t="s">
        <v>57</v>
      </c>
      <c r="N24" s="163"/>
    </row>
    <row r="25" spans="1:14" ht="52.5" x14ac:dyDescent="0.45">
      <c r="A25" s="155" t="s">
        <v>101</v>
      </c>
      <c r="B25" s="156" t="s">
        <v>154</v>
      </c>
      <c r="C25" s="156" t="s">
        <v>4</v>
      </c>
      <c r="D25" s="156">
        <v>50</v>
      </c>
      <c r="E25" s="156">
        <v>81</v>
      </c>
      <c r="F25" s="156">
        <v>152630.5</v>
      </c>
      <c r="G25" s="156">
        <v>2353</v>
      </c>
      <c r="H25" s="156">
        <v>0.12</v>
      </c>
      <c r="I25" s="171">
        <f t="shared" si="0"/>
        <v>22871.16</v>
      </c>
      <c r="J25" s="156">
        <v>0</v>
      </c>
      <c r="K25" s="171">
        <f t="shared" si="1"/>
        <v>0</v>
      </c>
      <c r="L25" s="156" t="s">
        <v>53</v>
      </c>
      <c r="M25" s="157" t="s">
        <v>57</v>
      </c>
      <c r="N25" s="163"/>
    </row>
    <row r="26" spans="1:14" ht="70" x14ac:dyDescent="0.45">
      <c r="A26" s="155" t="s">
        <v>95</v>
      </c>
      <c r="B26" s="156" t="s">
        <v>154</v>
      </c>
      <c r="C26" s="156" t="s">
        <v>31</v>
      </c>
      <c r="D26" s="156">
        <v>270</v>
      </c>
      <c r="E26" s="156">
        <v>456.5</v>
      </c>
      <c r="F26" s="156">
        <v>595258.6</v>
      </c>
      <c r="G26" s="156">
        <v>382</v>
      </c>
      <c r="H26" s="156">
        <v>0.17</v>
      </c>
      <c r="I26" s="171">
        <f t="shared" si="0"/>
        <v>29645.11</v>
      </c>
      <c r="J26" s="156">
        <v>0</v>
      </c>
      <c r="K26" s="171">
        <f t="shared" si="1"/>
        <v>0</v>
      </c>
      <c r="L26" s="156" t="s">
        <v>53</v>
      </c>
      <c r="M26" s="157" t="s">
        <v>54</v>
      </c>
      <c r="N26" s="163"/>
    </row>
    <row r="27" spans="1:14" ht="52.5" x14ac:dyDescent="0.45">
      <c r="A27" s="155" t="s">
        <v>94</v>
      </c>
      <c r="B27" s="156" t="s">
        <v>91</v>
      </c>
      <c r="C27" s="156" t="s">
        <v>28</v>
      </c>
      <c r="D27" s="156">
        <v>2</v>
      </c>
      <c r="E27" s="156">
        <v>1.2</v>
      </c>
      <c r="F27" s="156">
        <v>8553</v>
      </c>
      <c r="G27" s="156">
        <v>7850</v>
      </c>
      <c r="H27" s="156">
        <v>3.1</v>
      </c>
      <c r="I27" s="171">
        <f t="shared" si="0"/>
        <v>29202</v>
      </c>
      <c r="J27" s="156">
        <v>0</v>
      </c>
      <c r="K27" s="171">
        <f t="shared" si="1"/>
        <v>0</v>
      </c>
      <c r="L27" s="156" t="s">
        <v>53</v>
      </c>
      <c r="M27" s="157" t="s">
        <v>54</v>
      </c>
      <c r="N27" s="163"/>
    </row>
    <row r="28" spans="1:14" ht="52.5" x14ac:dyDescent="0.45">
      <c r="A28" s="155" t="s">
        <v>90</v>
      </c>
      <c r="B28" s="156" t="s">
        <v>91</v>
      </c>
      <c r="C28" s="156" t="s">
        <v>22</v>
      </c>
      <c r="D28" s="156">
        <v>25</v>
      </c>
      <c r="E28" s="156">
        <v>14.8</v>
      </c>
      <c r="F28" s="156">
        <v>7424.4</v>
      </c>
      <c r="G28" s="156">
        <v>474</v>
      </c>
      <c r="H28" s="156">
        <v>0.09</v>
      </c>
      <c r="I28" s="171">
        <f t="shared" si="0"/>
        <v>631.36800000000005</v>
      </c>
      <c r="J28" s="156">
        <v>1.6</v>
      </c>
      <c r="K28" s="171">
        <f t="shared" si="1"/>
        <v>11224.320000000002</v>
      </c>
      <c r="L28" s="156" t="s">
        <v>53</v>
      </c>
      <c r="M28" s="157" t="s">
        <v>54</v>
      </c>
      <c r="N28" s="163"/>
    </row>
    <row r="29" spans="1:14" ht="122.5" x14ac:dyDescent="0.45">
      <c r="A29" s="155" t="s">
        <v>55</v>
      </c>
      <c r="B29" s="156" t="s">
        <v>88</v>
      </c>
      <c r="C29" s="156" t="s">
        <v>56</v>
      </c>
      <c r="D29" s="156">
        <v>100</v>
      </c>
      <c r="E29" s="156">
        <v>6</v>
      </c>
      <c r="F29" s="156">
        <v>14181.2</v>
      </c>
      <c r="G29" s="156">
        <v>2363</v>
      </c>
      <c r="H29" s="156">
        <v>0.14000000000000001</v>
      </c>
      <c r="I29" s="171">
        <f t="shared" si="0"/>
        <v>1984.9200000000003</v>
      </c>
      <c r="J29" s="156">
        <v>0</v>
      </c>
      <c r="K29" s="171">
        <f t="shared" si="1"/>
        <v>0</v>
      </c>
      <c r="L29" s="156" t="s">
        <v>53</v>
      </c>
      <c r="M29" s="157" t="s">
        <v>57</v>
      </c>
      <c r="N29" s="163"/>
    </row>
    <row r="30" spans="1:14" ht="122.5" x14ac:dyDescent="0.45">
      <c r="A30" s="155" t="s">
        <v>50</v>
      </c>
      <c r="B30" s="156" t="s">
        <v>88</v>
      </c>
      <c r="C30" s="156" t="s">
        <v>52</v>
      </c>
      <c r="D30" s="156">
        <v>140</v>
      </c>
      <c r="E30" s="156">
        <v>8.3000000000000007</v>
      </c>
      <c r="F30" s="156">
        <v>4163.8</v>
      </c>
      <c r="G30" s="156">
        <v>61</v>
      </c>
      <c r="H30" s="156">
        <v>1.5</v>
      </c>
      <c r="I30" s="171">
        <f t="shared" si="0"/>
        <v>759.45</v>
      </c>
      <c r="J30" s="156">
        <v>0</v>
      </c>
      <c r="K30" s="171">
        <f t="shared" si="1"/>
        <v>0</v>
      </c>
      <c r="L30" s="156" t="s">
        <v>53</v>
      </c>
      <c r="M30" s="157" t="s">
        <v>54</v>
      </c>
      <c r="N30" s="163"/>
    </row>
    <row r="31" spans="1:14" ht="122.5" x14ac:dyDescent="0.45">
      <c r="A31" s="155" t="s">
        <v>58</v>
      </c>
      <c r="B31" s="156" t="s">
        <v>88</v>
      </c>
      <c r="C31" s="156" t="s">
        <v>32</v>
      </c>
      <c r="D31" s="156">
        <v>300</v>
      </c>
      <c r="E31" s="156">
        <v>16.7</v>
      </c>
      <c r="F31" s="156">
        <v>39929.599999999999</v>
      </c>
      <c r="G31" s="156">
        <v>2400</v>
      </c>
      <c r="H31" s="156">
        <v>0.19</v>
      </c>
      <c r="I31" s="171">
        <f t="shared" si="0"/>
        <v>7615.2</v>
      </c>
      <c r="J31" s="156">
        <v>0</v>
      </c>
      <c r="K31" s="171">
        <f t="shared" si="1"/>
        <v>0</v>
      </c>
      <c r="L31" s="156" t="s">
        <v>53</v>
      </c>
      <c r="M31" s="157" t="s">
        <v>54</v>
      </c>
      <c r="N31" s="163"/>
    </row>
    <row r="32" spans="1:14" ht="105" x14ac:dyDescent="0.45">
      <c r="A32" s="155" t="s">
        <v>55</v>
      </c>
      <c r="B32" s="156" t="s">
        <v>51</v>
      </c>
      <c r="C32" s="156" t="s">
        <v>56</v>
      </c>
      <c r="D32" s="156">
        <v>70</v>
      </c>
      <c r="E32" s="156">
        <v>75.5</v>
      </c>
      <c r="F32" s="156">
        <v>177945.5</v>
      </c>
      <c r="G32" s="156">
        <v>2363</v>
      </c>
      <c r="H32" s="156">
        <v>0.14000000000000001</v>
      </c>
      <c r="I32" s="171">
        <f t="shared" si="0"/>
        <v>24976.910000000003</v>
      </c>
      <c r="J32" s="156">
        <v>0</v>
      </c>
      <c r="K32" s="171">
        <f t="shared" si="1"/>
        <v>0</v>
      </c>
      <c r="L32" s="156" t="s">
        <v>53</v>
      </c>
      <c r="M32" s="157" t="s">
        <v>57</v>
      </c>
      <c r="N32" s="163"/>
    </row>
    <row r="33" spans="1:14" ht="105" x14ac:dyDescent="0.45">
      <c r="A33" s="155" t="s">
        <v>58</v>
      </c>
      <c r="B33" s="156" t="s">
        <v>51</v>
      </c>
      <c r="C33" s="156" t="s">
        <v>32</v>
      </c>
      <c r="D33" s="156">
        <v>150</v>
      </c>
      <c r="E33" s="156">
        <v>153</v>
      </c>
      <c r="F33" s="156">
        <v>367328</v>
      </c>
      <c r="G33" s="156">
        <v>2400</v>
      </c>
      <c r="H33" s="156">
        <v>0.19</v>
      </c>
      <c r="I33" s="171">
        <f t="shared" si="0"/>
        <v>69768</v>
      </c>
      <c r="J33" s="156">
        <v>0</v>
      </c>
      <c r="K33" s="171">
        <f t="shared" si="1"/>
        <v>0</v>
      </c>
      <c r="L33" s="156" t="s">
        <v>53</v>
      </c>
      <c r="M33" s="157" t="s">
        <v>54</v>
      </c>
      <c r="N33" s="163"/>
    </row>
    <row r="34" spans="1:14" ht="105" x14ac:dyDescent="0.45">
      <c r="A34" s="155" t="s">
        <v>50</v>
      </c>
      <c r="B34" s="156" t="s">
        <v>51</v>
      </c>
      <c r="C34" s="156" t="s">
        <v>52</v>
      </c>
      <c r="D34" s="156">
        <v>250</v>
      </c>
      <c r="E34" s="156">
        <v>265.5</v>
      </c>
      <c r="F34" s="156">
        <v>132783.5</v>
      </c>
      <c r="G34" s="156">
        <v>61</v>
      </c>
      <c r="H34" s="156">
        <v>1.5</v>
      </c>
      <c r="I34" s="171">
        <f t="shared" si="0"/>
        <v>24293.25</v>
      </c>
      <c r="J34" s="156">
        <v>0</v>
      </c>
      <c r="K34" s="171">
        <f t="shared" si="1"/>
        <v>0</v>
      </c>
      <c r="L34" s="156" t="s">
        <v>53</v>
      </c>
      <c r="M34" s="157" t="s">
        <v>54</v>
      </c>
      <c r="N34" s="163"/>
    </row>
    <row r="35" spans="1:14" ht="52.5" x14ac:dyDescent="0.45">
      <c r="A35" s="155" t="s">
        <v>70</v>
      </c>
      <c r="B35" s="156" t="s">
        <v>60</v>
      </c>
      <c r="C35" s="156" t="s">
        <v>71</v>
      </c>
      <c r="D35" s="156">
        <v>25</v>
      </c>
      <c r="E35" s="156">
        <v>1.4</v>
      </c>
      <c r="F35" s="156">
        <v>296</v>
      </c>
      <c r="G35" s="156">
        <v>60</v>
      </c>
      <c r="H35" s="156">
        <v>1.02</v>
      </c>
      <c r="I35" s="171">
        <f t="shared" si="0"/>
        <v>85.68</v>
      </c>
      <c r="J35" s="156">
        <v>1.1000000000000001</v>
      </c>
      <c r="K35" s="171">
        <f t="shared" si="1"/>
        <v>92.4</v>
      </c>
      <c r="L35" s="156" t="s">
        <v>53</v>
      </c>
      <c r="M35" s="157" t="s">
        <v>54</v>
      </c>
      <c r="N35" s="163"/>
    </row>
    <row r="36" spans="1:14" ht="52.5" x14ac:dyDescent="0.45">
      <c r="A36" s="155" t="s">
        <v>78</v>
      </c>
      <c r="B36" s="156" t="s">
        <v>60</v>
      </c>
      <c r="C36" s="156" t="s">
        <v>26</v>
      </c>
      <c r="D36" s="156">
        <v>28</v>
      </c>
      <c r="E36" s="156">
        <v>1.6</v>
      </c>
      <c r="F36" s="156">
        <v>1160.5999999999999</v>
      </c>
      <c r="G36" s="156">
        <v>474</v>
      </c>
      <c r="H36" s="156">
        <v>0.09</v>
      </c>
      <c r="I36" s="171">
        <f t="shared" si="0"/>
        <v>68.256</v>
      </c>
      <c r="J36" s="156">
        <v>1.6</v>
      </c>
      <c r="K36" s="171">
        <f t="shared" si="1"/>
        <v>1213.4400000000003</v>
      </c>
      <c r="L36" s="156" t="s">
        <v>53</v>
      </c>
      <c r="M36" s="157" t="s">
        <v>57</v>
      </c>
      <c r="N36" s="163"/>
    </row>
    <row r="37" spans="1:14" ht="52.5" x14ac:dyDescent="0.45">
      <c r="A37" s="155" t="s">
        <v>59</v>
      </c>
      <c r="B37" s="156" t="s">
        <v>60</v>
      </c>
      <c r="C37" s="156" t="s">
        <v>61</v>
      </c>
      <c r="D37" s="156">
        <v>32</v>
      </c>
      <c r="E37" s="156">
        <v>1.8</v>
      </c>
      <c r="F37" s="156">
        <v>2.2000000000000002</v>
      </c>
      <c r="G37" s="156">
        <v>0</v>
      </c>
      <c r="H37" s="156">
        <v>0</v>
      </c>
      <c r="I37" s="171">
        <f t="shared" si="0"/>
        <v>0</v>
      </c>
      <c r="J37" s="156">
        <v>0</v>
      </c>
      <c r="K37" s="171">
        <f t="shared" si="1"/>
        <v>0</v>
      </c>
      <c r="L37" s="156" t="s">
        <v>53</v>
      </c>
      <c r="M37" s="157" t="s">
        <v>57</v>
      </c>
      <c r="N37" s="163"/>
    </row>
    <row r="38" spans="1:14" ht="70" x14ac:dyDescent="0.45">
      <c r="A38" s="155" t="s">
        <v>95</v>
      </c>
      <c r="B38" s="156" t="s">
        <v>106</v>
      </c>
      <c r="C38" s="156" t="s">
        <v>30</v>
      </c>
      <c r="D38" s="156">
        <v>440</v>
      </c>
      <c r="E38" s="156">
        <v>31.6</v>
      </c>
      <c r="F38" s="156">
        <v>75898.3</v>
      </c>
      <c r="G38" s="156">
        <v>2375</v>
      </c>
      <c r="H38" s="156">
        <v>0.15</v>
      </c>
      <c r="I38" s="171">
        <f t="shared" si="0"/>
        <v>11257.5</v>
      </c>
      <c r="J38" s="156">
        <v>0</v>
      </c>
      <c r="K38" s="171">
        <f t="shared" si="1"/>
        <v>0</v>
      </c>
      <c r="L38" s="156" t="s">
        <v>53</v>
      </c>
      <c r="M38" s="157" t="s">
        <v>54</v>
      </c>
      <c r="N38" s="163"/>
    </row>
    <row r="39" spans="1:14" ht="70" x14ac:dyDescent="0.45">
      <c r="A39" s="155" t="s">
        <v>95</v>
      </c>
      <c r="B39" s="156" t="s">
        <v>77</v>
      </c>
      <c r="C39" s="156" t="s">
        <v>30</v>
      </c>
      <c r="D39" s="156">
        <v>100</v>
      </c>
      <c r="E39" s="156">
        <v>27.1</v>
      </c>
      <c r="F39" s="156">
        <v>65022.3</v>
      </c>
      <c r="G39" s="156">
        <v>2375</v>
      </c>
      <c r="H39" s="156">
        <v>0.15</v>
      </c>
      <c r="I39" s="171">
        <f t="shared" si="0"/>
        <v>9654.375</v>
      </c>
      <c r="J39" s="156">
        <v>0</v>
      </c>
      <c r="K39" s="171">
        <f t="shared" si="1"/>
        <v>0</v>
      </c>
      <c r="L39" s="156" t="s">
        <v>53</v>
      </c>
      <c r="M39" s="157" t="s">
        <v>54</v>
      </c>
      <c r="N39" s="163"/>
    </row>
    <row r="40" spans="1:14" ht="52.5" x14ac:dyDescent="0.45">
      <c r="A40" s="155" t="s">
        <v>72</v>
      </c>
      <c r="B40" s="156" t="s">
        <v>77</v>
      </c>
      <c r="C40" s="156" t="s">
        <v>74</v>
      </c>
      <c r="D40" s="156">
        <v>140</v>
      </c>
      <c r="E40" s="156">
        <v>37.6</v>
      </c>
      <c r="F40" s="156">
        <v>1051.9000000000001</v>
      </c>
      <c r="G40" s="156">
        <v>16</v>
      </c>
      <c r="H40" s="156">
        <v>3.5</v>
      </c>
      <c r="I40" s="171">
        <f t="shared" si="0"/>
        <v>2105.6</v>
      </c>
      <c r="J40" s="156">
        <v>0</v>
      </c>
      <c r="K40" s="171">
        <f t="shared" si="1"/>
        <v>0</v>
      </c>
      <c r="L40" s="156" t="s">
        <v>53</v>
      </c>
      <c r="M40" s="157" t="s">
        <v>54</v>
      </c>
      <c r="N40" s="163"/>
    </row>
    <row r="41" spans="1:14" ht="70" x14ac:dyDescent="0.45">
      <c r="A41" s="155" t="s">
        <v>95</v>
      </c>
      <c r="B41" s="156" t="s">
        <v>77</v>
      </c>
      <c r="C41" s="156" t="s">
        <v>30</v>
      </c>
      <c r="D41" s="156">
        <v>200</v>
      </c>
      <c r="E41" s="156">
        <v>52.1</v>
      </c>
      <c r="F41" s="156">
        <v>125087.3</v>
      </c>
      <c r="G41" s="156">
        <v>2375</v>
      </c>
      <c r="H41" s="156">
        <v>0.15</v>
      </c>
      <c r="I41" s="171">
        <f t="shared" si="0"/>
        <v>18560.625</v>
      </c>
      <c r="J41" s="156">
        <v>0</v>
      </c>
      <c r="K41" s="171">
        <f t="shared" si="1"/>
        <v>0</v>
      </c>
      <c r="L41" s="156" t="s">
        <v>53</v>
      </c>
      <c r="M41" s="157" t="s">
        <v>54</v>
      </c>
      <c r="N41" s="163"/>
    </row>
    <row r="42" spans="1:14" ht="70" x14ac:dyDescent="0.45">
      <c r="A42" s="155" t="s">
        <v>55</v>
      </c>
      <c r="B42" s="156" t="s">
        <v>73</v>
      </c>
      <c r="C42" s="156" t="s">
        <v>56</v>
      </c>
      <c r="D42" s="156">
        <v>150</v>
      </c>
      <c r="E42" s="156">
        <v>8.3000000000000007</v>
      </c>
      <c r="F42" s="156">
        <v>19539.400000000001</v>
      </c>
      <c r="G42" s="156">
        <v>2363</v>
      </c>
      <c r="H42" s="156">
        <v>0.14000000000000001</v>
      </c>
      <c r="I42" s="171">
        <f t="shared" si="0"/>
        <v>2745.8060000000005</v>
      </c>
      <c r="J42" s="156">
        <v>0</v>
      </c>
      <c r="K42" s="171">
        <f t="shared" si="1"/>
        <v>0</v>
      </c>
      <c r="L42" s="156" t="s">
        <v>53</v>
      </c>
      <c r="M42" s="157" t="s">
        <v>57</v>
      </c>
      <c r="N42" s="163"/>
    </row>
    <row r="43" spans="1:14" ht="70" x14ac:dyDescent="0.45">
      <c r="A43" s="155" t="s">
        <v>72</v>
      </c>
      <c r="B43" s="156" t="s">
        <v>73</v>
      </c>
      <c r="C43" s="156" t="s">
        <v>74</v>
      </c>
      <c r="D43" s="156">
        <v>250</v>
      </c>
      <c r="E43" s="156">
        <v>13.9</v>
      </c>
      <c r="F43" s="156">
        <v>388.1</v>
      </c>
      <c r="G43" s="156">
        <v>16</v>
      </c>
      <c r="H43" s="156">
        <v>3.5</v>
      </c>
      <c r="I43" s="171">
        <f t="shared" si="0"/>
        <v>778.4</v>
      </c>
      <c r="J43" s="156">
        <v>0</v>
      </c>
      <c r="K43" s="171">
        <f t="shared" si="1"/>
        <v>0</v>
      </c>
      <c r="L43" s="156" t="s">
        <v>53</v>
      </c>
      <c r="M43" s="157" t="s">
        <v>54</v>
      </c>
      <c r="N43" s="163"/>
    </row>
    <row r="44" spans="1:14" ht="52.5" x14ac:dyDescent="0.45">
      <c r="A44" s="155" t="s">
        <v>55</v>
      </c>
      <c r="B44" s="156" t="s">
        <v>84</v>
      </c>
      <c r="C44" s="156" t="s">
        <v>56</v>
      </c>
      <c r="D44" s="156">
        <v>100</v>
      </c>
      <c r="E44" s="156">
        <v>34.700000000000003</v>
      </c>
      <c r="F44" s="156">
        <v>81845.100000000006</v>
      </c>
      <c r="G44" s="156">
        <v>2363</v>
      </c>
      <c r="H44" s="156">
        <v>0.14000000000000001</v>
      </c>
      <c r="I44" s="171">
        <f t="shared" si="0"/>
        <v>11479.454000000002</v>
      </c>
      <c r="J44" s="156">
        <v>0</v>
      </c>
      <c r="K44" s="171">
        <f t="shared" si="1"/>
        <v>0</v>
      </c>
      <c r="L44" s="156" t="s">
        <v>53</v>
      </c>
      <c r="M44" s="157" t="s">
        <v>57</v>
      </c>
      <c r="N44" s="163"/>
    </row>
    <row r="45" spans="1:14" ht="52.5" x14ac:dyDescent="0.45">
      <c r="A45" s="155" t="s">
        <v>72</v>
      </c>
      <c r="B45" s="156" t="s">
        <v>84</v>
      </c>
      <c r="C45" s="156" t="s">
        <v>74</v>
      </c>
      <c r="D45" s="156">
        <v>300</v>
      </c>
      <c r="E45" s="156">
        <v>104.5</v>
      </c>
      <c r="F45" s="156">
        <v>2917.9</v>
      </c>
      <c r="G45" s="156">
        <v>16</v>
      </c>
      <c r="H45" s="156">
        <v>3.5</v>
      </c>
      <c r="I45" s="171">
        <f t="shared" si="0"/>
        <v>5852</v>
      </c>
      <c r="J45" s="156">
        <v>0</v>
      </c>
      <c r="K45" s="171">
        <f t="shared" si="1"/>
        <v>0</v>
      </c>
      <c r="L45" s="156" t="s">
        <v>53</v>
      </c>
      <c r="M45" s="157" t="s">
        <v>54</v>
      </c>
      <c r="N45" s="163"/>
    </row>
    <row r="46" spans="1:14" ht="70" x14ac:dyDescent="0.45">
      <c r="A46" s="155" t="s">
        <v>58</v>
      </c>
      <c r="B46" s="156" t="s">
        <v>166</v>
      </c>
      <c r="C46" s="156" t="s">
        <v>32</v>
      </c>
      <c r="D46" s="156">
        <v>540</v>
      </c>
      <c r="E46" s="156">
        <v>17.600000000000001</v>
      </c>
      <c r="F46" s="156">
        <v>42896.4</v>
      </c>
      <c r="G46" s="156">
        <v>2400</v>
      </c>
      <c r="H46" s="156">
        <v>0.19</v>
      </c>
      <c r="I46" s="171">
        <f t="shared" si="0"/>
        <v>8025.6</v>
      </c>
      <c r="J46" s="156">
        <v>0</v>
      </c>
      <c r="K46" s="171">
        <f t="shared" si="1"/>
        <v>0</v>
      </c>
      <c r="L46" s="156" t="s">
        <v>53</v>
      </c>
      <c r="M46" s="157" t="s">
        <v>54</v>
      </c>
      <c r="N46" s="163"/>
    </row>
    <row r="47" spans="1:14" ht="70" x14ac:dyDescent="0.45">
      <c r="A47" s="155" t="s">
        <v>58</v>
      </c>
      <c r="B47" s="156" t="s">
        <v>166</v>
      </c>
      <c r="C47" s="156" t="s">
        <v>32</v>
      </c>
      <c r="D47" s="156">
        <v>740</v>
      </c>
      <c r="E47" s="156">
        <v>20.399999999999999</v>
      </c>
      <c r="F47" s="156">
        <v>49174.7</v>
      </c>
      <c r="G47" s="156">
        <v>2400</v>
      </c>
      <c r="H47" s="156">
        <v>0.19</v>
      </c>
      <c r="I47" s="171">
        <f t="shared" si="0"/>
        <v>9302.4</v>
      </c>
      <c r="J47" s="156">
        <v>0</v>
      </c>
      <c r="K47" s="171">
        <f t="shared" si="1"/>
        <v>0</v>
      </c>
      <c r="L47" s="156" t="s">
        <v>53</v>
      </c>
      <c r="M47" s="157" t="s">
        <v>54</v>
      </c>
      <c r="N47" s="163"/>
    </row>
    <row r="48" spans="1:14" ht="52.5" x14ac:dyDescent="0.45">
      <c r="A48" s="155" t="s">
        <v>81</v>
      </c>
      <c r="B48" s="156" t="s">
        <v>82</v>
      </c>
      <c r="C48" s="156" t="s">
        <v>18</v>
      </c>
      <c r="D48" s="156">
        <v>5</v>
      </c>
      <c r="E48" s="156">
        <v>0</v>
      </c>
      <c r="F48" s="156">
        <v>1523.5</v>
      </c>
      <c r="G48" s="156">
        <v>1620</v>
      </c>
      <c r="H48" s="156">
        <v>0.16</v>
      </c>
      <c r="I48" s="171">
        <f t="shared" si="0"/>
        <v>0</v>
      </c>
      <c r="J48" s="139">
        <v>0</v>
      </c>
      <c r="K48" s="171">
        <f t="shared" si="1"/>
        <v>0</v>
      </c>
      <c r="L48" s="156" t="s">
        <v>53</v>
      </c>
      <c r="M48" s="157" t="s">
        <v>83</v>
      </c>
      <c r="N48" s="163"/>
    </row>
    <row r="49" spans="1:14" ht="17.5" x14ac:dyDescent="0.45">
      <c r="A49" s="156" t="s">
        <v>109</v>
      </c>
      <c r="B49" s="171"/>
      <c r="C49" s="156" t="s">
        <v>109</v>
      </c>
      <c r="D49" s="156" t="s">
        <v>109</v>
      </c>
      <c r="E49" s="156">
        <v>1751</v>
      </c>
      <c r="F49" s="156" t="s">
        <v>109</v>
      </c>
      <c r="G49" s="156" t="s">
        <v>109</v>
      </c>
      <c r="H49" s="157">
        <v>1751</v>
      </c>
      <c r="I49" s="174">
        <f>SUM(I6:I48)</f>
        <v>517335.16500000004</v>
      </c>
      <c r="J49" s="175">
        <f t="shared" ref="J49:K49" si="2">SUM(J6:J48)</f>
        <v>4.3000000000000007</v>
      </c>
      <c r="K49" s="176">
        <f t="shared" si="2"/>
        <v>12530.160000000002</v>
      </c>
      <c r="L49" s="155" t="s">
        <v>109</v>
      </c>
      <c r="M49" s="156" t="s">
        <v>109</v>
      </c>
      <c r="N49" s="163"/>
    </row>
    <row r="50" spans="1:14" ht="17.5" x14ac:dyDescent="0.45">
      <c r="A50" s="171"/>
      <c r="B50" s="171"/>
      <c r="C50" s="171"/>
      <c r="D50" s="171"/>
      <c r="E50" s="171"/>
      <c r="F50" s="171"/>
      <c r="G50" s="171"/>
      <c r="H50" s="171"/>
      <c r="I50" s="171"/>
      <c r="J50" s="171"/>
      <c r="K50" s="171"/>
      <c r="L50" s="171"/>
      <c r="M50" s="171"/>
      <c r="N50" s="163"/>
    </row>
    <row r="51" spans="1:14" ht="18" thickBot="1" x14ac:dyDescent="0.5">
      <c r="A51" s="171"/>
      <c r="B51" s="171"/>
      <c r="C51" s="171"/>
      <c r="D51" s="171"/>
      <c r="E51" s="171"/>
      <c r="F51" s="171">
        <f>SUM(Table716[Massa])</f>
        <v>3475602.0999999996</v>
      </c>
      <c r="G51" s="171" t="s">
        <v>222</v>
      </c>
      <c r="H51" s="171"/>
      <c r="I51" s="171"/>
      <c r="J51" s="171"/>
      <c r="K51" s="171"/>
      <c r="L51" s="171"/>
      <c r="M51" s="171"/>
      <c r="N51" s="163"/>
    </row>
    <row r="52" spans="1:14" ht="17.5" x14ac:dyDescent="0.45">
      <c r="A52" s="171"/>
      <c r="B52" s="171"/>
      <c r="C52" s="171"/>
      <c r="D52" s="171"/>
      <c r="E52" s="171"/>
      <c r="F52" s="171">
        <f>F51/1000</f>
        <v>3475.6020999999996</v>
      </c>
      <c r="G52" s="171" t="s">
        <v>352</v>
      </c>
      <c r="H52" s="171"/>
      <c r="I52" s="171"/>
      <c r="J52" s="177">
        <f>I49-K49</f>
        <v>504805.00500000006</v>
      </c>
      <c r="K52" s="178" t="s">
        <v>44</v>
      </c>
      <c r="L52" s="171"/>
      <c r="M52" s="171"/>
      <c r="N52" s="163"/>
    </row>
    <row r="53" spans="1:14" ht="18" thickBot="1" x14ac:dyDescent="0.5">
      <c r="A53" s="171"/>
      <c r="B53" s="171"/>
      <c r="C53" s="171"/>
      <c r="D53" s="171"/>
      <c r="E53" s="171"/>
      <c r="F53" s="171"/>
      <c r="G53" s="171"/>
      <c r="H53" s="171"/>
      <c r="I53" s="171"/>
      <c r="J53" s="179">
        <f>J52/1000</f>
        <v>504.80500500000005</v>
      </c>
      <c r="K53" s="180" t="s">
        <v>110</v>
      </c>
      <c r="L53" s="171"/>
      <c r="M53" s="171"/>
      <c r="N53" s="163"/>
    </row>
    <row r="54" spans="1:14" ht="17.5" x14ac:dyDescent="0.45">
      <c r="A54" s="163"/>
      <c r="B54" s="163"/>
      <c r="C54" s="163"/>
      <c r="D54" s="163"/>
      <c r="E54" s="163"/>
      <c r="F54" s="181">
        <f>F51*10</f>
        <v>34756021</v>
      </c>
      <c r="G54" s="163" t="s">
        <v>353</v>
      </c>
      <c r="H54" s="163"/>
      <c r="I54" s="163"/>
      <c r="J54" s="163"/>
      <c r="K54" s="163"/>
      <c r="L54" s="163"/>
      <c r="M54" s="163"/>
      <c r="N54" s="163"/>
    </row>
    <row r="55" spans="1:14" ht="17.5" x14ac:dyDescent="0.45">
      <c r="A55" s="163"/>
      <c r="B55" s="163"/>
      <c r="C55" s="163"/>
      <c r="D55" s="163"/>
      <c r="E55" s="163"/>
      <c r="F55" s="181">
        <f>F54/1000</f>
        <v>34756.021000000001</v>
      </c>
      <c r="G55" s="163" t="s">
        <v>354</v>
      </c>
      <c r="H55" s="163"/>
      <c r="I55" s="163"/>
      <c r="J55" s="163"/>
      <c r="K55" s="163"/>
      <c r="L55" s="163"/>
      <c r="M55" s="163"/>
      <c r="N55" s="163"/>
    </row>
    <row r="56" spans="1:14" ht="17.5" x14ac:dyDescent="0.45">
      <c r="A56" s="163"/>
      <c r="B56" s="163"/>
      <c r="C56" s="163"/>
      <c r="D56" s="163"/>
      <c r="E56" s="163"/>
      <c r="F56" s="163"/>
      <c r="G56" s="163"/>
      <c r="H56" s="163"/>
      <c r="I56" s="163"/>
      <c r="J56" s="163"/>
      <c r="K56" s="163"/>
      <c r="L56" s="163"/>
      <c r="M56" s="163"/>
      <c r="N56" s="163"/>
    </row>
  </sheetData>
  <protectedRanges>
    <protectedRange sqref="A5:M48" name="Alue1"/>
  </protectedRanges>
  <mergeCells count="1">
    <mergeCell ref="A3:K3"/>
  </mergeCells>
  <conditionalFormatting sqref="J52:J53">
    <cfRule type="cellIs" dxfId="155" priority="1" operator="lessThan">
      <formula>0</formula>
    </cfRule>
    <cfRule type="cellIs" dxfId="154" priority="2" operator="greaterThan">
      <formula>0</formula>
    </cfRule>
  </conditionalFormatting>
  <pageMargins left="0.7" right="0.7" top="0.75" bottom="0.75" header="0.3" footer="0.3"/>
  <pageSetup paperSize="9" orientation="portrait" verticalDpi="0" r:id="rId1"/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ul10"/>
  <dimension ref="A1:AP109"/>
  <sheetViews>
    <sheetView topLeftCell="F1" zoomScale="78" zoomScaleNormal="78" workbookViewId="0">
      <selection activeCell="D22" sqref="D22"/>
    </sheetView>
  </sheetViews>
  <sheetFormatPr defaultRowHeight="14.5" x14ac:dyDescent="0.35"/>
  <cols>
    <col min="1" max="2" width="26.54296875" bestFit="1" customWidth="1"/>
    <col min="3" max="3" width="29.7265625" bestFit="1" customWidth="1"/>
  </cols>
  <sheetData>
    <row r="1" spans="1:42" x14ac:dyDescent="0.35">
      <c r="A1" s="49" t="s">
        <v>2</v>
      </c>
      <c r="B1" s="49" t="s">
        <v>1</v>
      </c>
      <c r="C1" s="49" t="s">
        <v>0</v>
      </c>
      <c r="D1" s="49" t="s">
        <v>21</v>
      </c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  <c r="AF1" s="49"/>
      <c r="AG1" s="49"/>
      <c r="AH1" s="49"/>
      <c r="AI1" s="49"/>
      <c r="AJ1" s="49"/>
      <c r="AK1" s="49"/>
      <c r="AL1" s="49"/>
      <c r="AM1" s="49"/>
      <c r="AN1" s="49"/>
      <c r="AO1" s="49"/>
      <c r="AP1" s="49"/>
    </row>
    <row r="2" spans="1:42" x14ac:dyDescent="0.35">
      <c r="A2" s="49" t="s">
        <v>3</v>
      </c>
      <c r="B2" s="49">
        <v>3.1</v>
      </c>
      <c r="C2" s="49">
        <v>0.59</v>
      </c>
      <c r="D2" s="49">
        <v>2700</v>
      </c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/>
      <c r="AK2" s="49"/>
      <c r="AL2" s="49"/>
      <c r="AM2" s="49"/>
      <c r="AN2" s="49"/>
      <c r="AO2" s="49"/>
      <c r="AP2" s="49"/>
    </row>
    <row r="3" spans="1:42" x14ac:dyDescent="0.35">
      <c r="A3" s="49" t="s">
        <v>4</v>
      </c>
      <c r="B3" s="49">
        <v>0.12</v>
      </c>
      <c r="C3" s="49">
        <v>0</v>
      </c>
      <c r="D3" s="49">
        <v>2353</v>
      </c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  <c r="AC3" s="49"/>
      <c r="AD3" s="49"/>
      <c r="AE3" s="49"/>
      <c r="AF3" s="49"/>
      <c r="AG3" s="49"/>
      <c r="AH3" s="49"/>
      <c r="AI3" s="49"/>
      <c r="AJ3" s="49"/>
      <c r="AK3" s="49"/>
      <c r="AL3" s="49"/>
      <c r="AM3" s="49"/>
      <c r="AN3" s="49"/>
      <c r="AO3" s="49"/>
      <c r="AP3" s="49"/>
    </row>
    <row r="4" spans="1:42" x14ac:dyDescent="0.35">
      <c r="A4" s="49" t="s">
        <v>5</v>
      </c>
      <c r="B4" s="49">
        <v>0.14000000000000001</v>
      </c>
      <c r="C4" s="49">
        <v>0</v>
      </c>
      <c r="D4" s="49">
        <v>2363</v>
      </c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  <c r="AA4" s="49"/>
      <c r="AB4" s="49"/>
      <c r="AC4" s="49"/>
      <c r="AD4" s="49"/>
      <c r="AE4" s="49"/>
      <c r="AF4" s="49"/>
      <c r="AG4" s="49"/>
      <c r="AH4" s="49"/>
      <c r="AI4" s="49"/>
      <c r="AJ4" s="49"/>
      <c r="AK4" s="49"/>
      <c r="AL4" s="49"/>
      <c r="AM4" s="49"/>
      <c r="AN4" s="49"/>
      <c r="AO4" s="49"/>
      <c r="AP4" s="49"/>
    </row>
    <row r="5" spans="1:42" s="1" customFormat="1" x14ac:dyDescent="0.35">
      <c r="A5" s="119" t="s">
        <v>6</v>
      </c>
      <c r="B5" s="119">
        <v>0.26</v>
      </c>
      <c r="C5" s="119">
        <v>0</v>
      </c>
      <c r="D5" s="119">
        <v>644</v>
      </c>
      <c r="E5" s="119"/>
      <c r="F5" s="119"/>
      <c r="G5" s="119"/>
      <c r="H5" s="119"/>
      <c r="I5" s="119"/>
      <c r="J5" s="119"/>
      <c r="K5" s="119"/>
      <c r="L5" s="119"/>
      <c r="M5" s="119"/>
      <c r="N5" s="119"/>
      <c r="O5" s="119"/>
      <c r="P5" s="119"/>
      <c r="Q5" s="119"/>
      <c r="R5" s="119"/>
      <c r="S5" s="119"/>
      <c r="T5" s="119"/>
      <c r="U5" s="119"/>
      <c r="V5" s="119"/>
      <c r="W5" s="119"/>
      <c r="X5" s="119"/>
      <c r="Y5" s="119"/>
      <c r="Z5" s="119"/>
      <c r="AA5" s="119"/>
      <c r="AB5" s="119"/>
      <c r="AC5" s="119"/>
      <c r="AD5" s="119"/>
      <c r="AE5" s="119"/>
      <c r="AF5" s="119"/>
      <c r="AG5" s="119"/>
      <c r="AH5" s="119"/>
      <c r="AI5" s="119"/>
      <c r="AJ5" s="119"/>
      <c r="AK5" s="119"/>
      <c r="AL5" s="119"/>
      <c r="AM5" s="119"/>
      <c r="AN5" s="119"/>
      <c r="AO5" s="119"/>
      <c r="AP5" s="119"/>
    </row>
    <row r="6" spans="1:42" x14ac:dyDescent="0.35">
      <c r="A6" s="49" t="s">
        <v>7</v>
      </c>
      <c r="B6" s="49">
        <v>0.75</v>
      </c>
      <c r="C6" s="49">
        <v>0</v>
      </c>
      <c r="D6" s="49">
        <v>1650</v>
      </c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  <c r="AA6" s="49"/>
      <c r="AB6" s="49"/>
      <c r="AC6" s="49"/>
      <c r="AD6" s="49"/>
      <c r="AE6" s="49"/>
      <c r="AF6" s="49"/>
      <c r="AG6" s="49"/>
      <c r="AH6" s="49"/>
      <c r="AI6" s="49"/>
      <c r="AJ6" s="49"/>
      <c r="AK6" s="49"/>
      <c r="AL6" s="49"/>
      <c r="AM6" s="49"/>
      <c r="AN6" s="49"/>
      <c r="AO6" s="49"/>
      <c r="AP6" s="49"/>
    </row>
    <row r="7" spans="1:42" x14ac:dyDescent="0.35">
      <c r="A7" s="49" t="s">
        <v>8</v>
      </c>
      <c r="B7" s="49">
        <v>1.1000000000000001</v>
      </c>
      <c r="C7" s="49">
        <v>1.02</v>
      </c>
      <c r="D7" s="49">
        <v>60</v>
      </c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  <c r="AB7" s="49"/>
      <c r="AC7" s="49"/>
      <c r="AD7" s="49"/>
      <c r="AE7" s="49"/>
      <c r="AF7" s="49"/>
      <c r="AG7" s="49"/>
      <c r="AH7" s="49"/>
      <c r="AI7" s="49"/>
      <c r="AJ7" s="49"/>
      <c r="AK7" s="49"/>
      <c r="AL7" s="49"/>
      <c r="AM7" s="49"/>
      <c r="AN7" s="49"/>
      <c r="AO7" s="49"/>
      <c r="AP7" s="49"/>
    </row>
    <row r="8" spans="1:42" x14ac:dyDescent="0.35">
      <c r="A8" s="49" t="s">
        <v>9</v>
      </c>
      <c r="B8" s="49">
        <v>1.1000000000000001</v>
      </c>
      <c r="C8" s="49">
        <v>1.02</v>
      </c>
      <c r="D8" s="49">
        <v>40</v>
      </c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49"/>
      <c r="AA8" s="49"/>
      <c r="AB8" s="49"/>
      <c r="AC8" s="49"/>
      <c r="AD8" s="49"/>
      <c r="AE8" s="49"/>
      <c r="AF8" s="49"/>
      <c r="AG8" s="49"/>
      <c r="AH8" s="49"/>
      <c r="AI8" s="49"/>
      <c r="AJ8" s="49"/>
      <c r="AK8" s="49"/>
      <c r="AL8" s="49"/>
      <c r="AM8" s="49"/>
      <c r="AN8" s="49"/>
      <c r="AO8" s="49"/>
      <c r="AP8" s="49"/>
    </row>
    <row r="9" spans="1:42" x14ac:dyDescent="0.35">
      <c r="A9" s="49" t="s">
        <v>10</v>
      </c>
      <c r="B9" s="49">
        <v>1.5</v>
      </c>
      <c r="C9" s="49">
        <v>0</v>
      </c>
      <c r="D9" s="49">
        <v>61</v>
      </c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  <c r="Z9" s="49"/>
      <c r="AA9" s="49"/>
      <c r="AB9" s="49"/>
      <c r="AC9" s="49"/>
      <c r="AD9" s="49"/>
      <c r="AE9" s="49"/>
      <c r="AF9" s="49"/>
      <c r="AG9" s="49"/>
      <c r="AH9" s="49"/>
      <c r="AI9" s="49"/>
      <c r="AJ9" s="49"/>
      <c r="AK9" s="49"/>
      <c r="AL9" s="49"/>
      <c r="AM9" s="49"/>
      <c r="AN9" s="49"/>
      <c r="AO9" s="49"/>
      <c r="AP9" s="49"/>
    </row>
    <row r="10" spans="1:42" s="1" customFormat="1" x14ac:dyDescent="0.35">
      <c r="A10" s="119" t="s">
        <v>11</v>
      </c>
      <c r="B10" s="119">
        <v>1.5</v>
      </c>
      <c r="C10" s="119">
        <v>0</v>
      </c>
      <c r="D10" s="119">
        <v>33</v>
      </c>
      <c r="E10" s="119"/>
      <c r="F10" s="119"/>
      <c r="G10" s="119"/>
      <c r="H10" s="119"/>
      <c r="I10" s="119"/>
      <c r="J10" s="119"/>
      <c r="K10" s="119"/>
      <c r="L10" s="119"/>
      <c r="M10" s="119"/>
      <c r="N10" s="119"/>
      <c r="O10" s="119"/>
      <c r="P10" s="119"/>
      <c r="Q10" s="119"/>
      <c r="R10" s="119"/>
      <c r="S10" s="119"/>
      <c r="T10" s="119"/>
      <c r="U10" s="119"/>
      <c r="V10" s="119"/>
      <c r="W10" s="119"/>
      <c r="X10" s="119"/>
      <c r="Y10" s="119"/>
      <c r="Z10" s="119"/>
      <c r="AA10" s="119"/>
      <c r="AB10" s="119"/>
      <c r="AC10" s="119"/>
      <c r="AD10" s="119"/>
      <c r="AE10" s="119"/>
      <c r="AF10" s="119"/>
      <c r="AG10" s="119"/>
      <c r="AH10" s="119"/>
      <c r="AI10" s="119"/>
      <c r="AJ10" s="119"/>
      <c r="AK10" s="119"/>
      <c r="AL10" s="119"/>
      <c r="AM10" s="119"/>
      <c r="AN10" s="119"/>
      <c r="AO10" s="119"/>
      <c r="AP10" s="119"/>
    </row>
    <row r="11" spans="1:42" x14ac:dyDescent="0.35">
      <c r="A11" s="49" t="s">
        <v>12</v>
      </c>
      <c r="B11" s="49">
        <v>3.5</v>
      </c>
      <c r="C11" s="49">
        <v>0</v>
      </c>
      <c r="D11" s="49">
        <v>16</v>
      </c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49"/>
      <c r="Y11" s="49"/>
      <c r="Z11" s="49"/>
      <c r="AA11" s="49"/>
      <c r="AB11" s="49"/>
      <c r="AC11" s="49"/>
      <c r="AD11" s="49"/>
      <c r="AE11" s="49"/>
      <c r="AF11" s="49"/>
      <c r="AG11" s="49"/>
      <c r="AH11" s="49"/>
      <c r="AI11" s="49"/>
      <c r="AJ11" s="49"/>
      <c r="AK11" s="49"/>
      <c r="AL11" s="49"/>
      <c r="AM11" s="49"/>
      <c r="AN11" s="49"/>
      <c r="AO11" s="49"/>
      <c r="AP11" s="49"/>
    </row>
    <row r="12" spans="1:42" x14ac:dyDescent="0.35">
      <c r="A12" s="49" t="s">
        <v>13</v>
      </c>
      <c r="B12" s="49">
        <v>0.05</v>
      </c>
      <c r="C12" s="49">
        <v>0</v>
      </c>
      <c r="D12" s="49">
        <v>1000</v>
      </c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  <c r="Z12" s="49"/>
      <c r="AA12" s="49"/>
      <c r="AB12" s="49"/>
      <c r="AC12" s="49"/>
      <c r="AD12" s="49"/>
      <c r="AE12" s="49"/>
      <c r="AF12" s="49"/>
      <c r="AG12" s="49"/>
      <c r="AH12" s="49"/>
      <c r="AI12" s="49"/>
      <c r="AJ12" s="49"/>
      <c r="AK12" s="49"/>
      <c r="AL12" s="49"/>
      <c r="AM12" s="49"/>
      <c r="AN12" s="49"/>
      <c r="AO12" s="49"/>
      <c r="AP12" s="49"/>
    </row>
    <row r="13" spans="1:42" x14ac:dyDescent="0.35">
      <c r="A13" s="49" t="s">
        <v>14</v>
      </c>
      <c r="B13" s="49">
        <v>3.1</v>
      </c>
      <c r="C13" s="49">
        <v>0</v>
      </c>
      <c r="D13" s="49">
        <v>925</v>
      </c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49"/>
      <c r="AA13" s="49"/>
      <c r="AB13" s="49"/>
      <c r="AC13" s="49"/>
      <c r="AD13" s="49"/>
      <c r="AE13" s="49"/>
      <c r="AF13" s="49"/>
      <c r="AG13" s="49"/>
      <c r="AH13" s="49"/>
      <c r="AI13" s="49"/>
      <c r="AJ13" s="49"/>
      <c r="AK13" s="49"/>
      <c r="AL13" s="49"/>
      <c r="AM13" s="49"/>
      <c r="AN13" s="49"/>
      <c r="AO13" s="49"/>
      <c r="AP13" s="49"/>
    </row>
    <row r="14" spans="1:42" x14ac:dyDescent="0.35">
      <c r="A14" s="49" t="s">
        <v>15</v>
      </c>
      <c r="B14" s="49">
        <v>0.28000000000000003</v>
      </c>
      <c r="C14" s="49">
        <v>0</v>
      </c>
      <c r="D14" s="49">
        <v>875</v>
      </c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F14" s="49"/>
      <c r="AG14" s="49"/>
      <c r="AH14" s="49"/>
      <c r="AI14" s="49"/>
      <c r="AJ14" s="49"/>
      <c r="AK14" s="49"/>
      <c r="AL14" s="49"/>
      <c r="AM14" s="49"/>
      <c r="AN14" s="49"/>
      <c r="AO14" s="49"/>
      <c r="AP14" s="49"/>
    </row>
    <row r="15" spans="1:42" s="1" customFormat="1" x14ac:dyDescent="0.35">
      <c r="A15" s="119" t="s">
        <v>16</v>
      </c>
      <c r="B15" s="119">
        <v>0.42</v>
      </c>
      <c r="C15" s="119">
        <v>1.5</v>
      </c>
      <c r="D15" s="119">
        <v>610</v>
      </c>
      <c r="E15" s="119"/>
      <c r="F15" s="119"/>
      <c r="G15" s="119"/>
      <c r="H15" s="119"/>
      <c r="I15" s="119"/>
      <c r="J15" s="119"/>
      <c r="K15" s="119"/>
      <c r="L15" s="119"/>
      <c r="M15" s="119"/>
      <c r="N15" s="119"/>
      <c r="O15" s="119"/>
      <c r="P15" s="119"/>
      <c r="Q15" s="119"/>
      <c r="R15" s="119"/>
      <c r="S15" s="119"/>
      <c r="T15" s="119"/>
      <c r="U15" s="119"/>
      <c r="V15" s="119"/>
      <c r="W15" s="119"/>
      <c r="X15" s="119"/>
      <c r="Y15" s="119"/>
      <c r="Z15" s="119"/>
      <c r="AA15" s="119"/>
      <c r="AB15" s="119"/>
      <c r="AC15" s="119"/>
      <c r="AD15" s="119"/>
      <c r="AE15" s="119"/>
      <c r="AF15" s="119"/>
      <c r="AG15" s="119"/>
      <c r="AH15" s="119"/>
      <c r="AI15" s="119"/>
      <c r="AJ15" s="119"/>
      <c r="AK15" s="119"/>
      <c r="AL15" s="119"/>
      <c r="AM15" s="119"/>
      <c r="AN15" s="119"/>
      <c r="AO15" s="119"/>
      <c r="AP15" s="119"/>
    </row>
    <row r="16" spans="1:42" x14ac:dyDescent="0.35">
      <c r="A16" s="49" t="s">
        <v>17</v>
      </c>
      <c r="B16" s="49">
        <v>0.6</v>
      </c>
      <c r="C16" s="49">
        <v>0</v>
      </c>
      <c r="D16" s="49">
        <v>8940</v>
      </c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49"/>
      <c r="Z16" s="49"/>
      <c r="AA16" s="49"/>
      <c r="AB16" s="49"/>
      <c r="AC16" s="49"/>
      <c r="AD16" s="49"/>
      <c r="AE16" s="49"/>
      <c r="AF16" s="49"/>
      <c r="AG16" s="49"/>
      <c r="AH16" s="49"/>
      <c r="AI16" s="49"/>
      <c r="AJ16" s="49"/>
      <c r="AK16" s="49"/>
      <c r="AL16" s="49"/>
      <c r="AM16" s="49"/>
      <c r="AN16" s="49"/>
      <c r="AO16" s="49"/>
      <c r="AP16" s="49"/>
    </row>
    <row r="17" spans="1:42" x14ac:dyDescent="0.35">
      <c r="A17" s="49" t="s">
        <v>18</v>
      </c>
      <c r="B17" s="49">
        <v>0.16</v>
      </c>
      <c r="C17" s="49">
        <v>0</v>
      </c>
      <c r="D17" s="49">
        <v>1620</v>
      </c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  <c r="AA17" s="49"/>
      <c r="AB17" s="49"/>
      <c r="AC17" s="49"/>
      <c r="AD17" s="49"/>
      <c r="AE17" s="49"/>
      <c r="AF17" s="49"/>
      <c r="AG17" s="49"/>
      <c r="AH17" s="49"/>
      <c r="AI17" s="49"/>
      <c r="AJ17" s="49"/>
      <c r="AK17" s="49"/>
      <c r="AL17" s="49"/>
      <c r="AM17" s="49"/>
      <c r="AN17" s="49"/>
      <c r="AO17" s="49"/>
      <c r="AP17" s="49"/>
    </row>
    <row r="18" spans="1:42" x14ac:dyDescent="0.35">
      <c r="A18" s="49" t="s">
        <v>19</v>
      </c>
      <c r="B18" s="49">
        <v>0.16</v>
      </c>
      <c r="C18" s="49">
        <v>0</v>
      </c>
      <c r="D18" s="49">
        <v>1620</v>
      </c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  <c r="Z18" s="49"/>
      <c r="AA18" s="49"/>
      <c r="AB18" s="49"/>
      <c r="AC18" s="49"/>
      <c r="AD18" s="49"/>
      <c r="AE18" s="49"/>
      <c r="AF18" s="49"/>
      <c r="AG18" s="49"/>
      <c r="AH18" s="49"/>
      <c r="AI18" s="49"/>
      <c r="AJ18" s="49"/>
      <c r="AK18" s="49"/>
      <c r="AL18" s="49"/>
      <c r="AM18" s="49"/>
      <c r="AN18" s="49"/>
      <c r="AO18" s="49"/>
      <c r="AP18" s="49"/>
    </row>
    <row r="19" spans="1:42" x14ac:dyDescent="0.35">
      <c r="A19" s="49" t="s">
        <v>20</v>
      </c>
      <c r="B19" s="49">
        <v>0.2</v>
      </c>
      <c r="C19" s="49">
        <v>1.6</v>
      </c>
      <c r="D19" s="49">
        <v>470</v>
      </c>
      <c r="E19" s="49"/>
      <c r="F19" s="49"/>
      <c r="G19" s="49"/>
      <c r="H19" s="49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49"/>
      <c r="Z19" s="49"/>
      <c r="AA19" s="49"/>
      <c r="AB19" s="49"/>
      <c r="AC19" s="49"/>
      <c r="AD19" s="49"/>
      <c r="AE19" s="49"/>
      <c r="AF19" s="49"/>
      <c r="AG19" s="49"/>
      <c r="AH19" s="49"/>
      <c r="AI19" s="49"/>
      <c r="AJ19" s="49"/>
      <c r="AK19" s="49"/>
      <c r="AL19" s="49"/>
      <c r="AM19" s="49"/>
      <c r="AN19" s="49"/>
      <c r="AO19" s="49"/>
      <c r="AP19" s="49"/>
    </row>
    <row r="20" spans="1:42" x14ac:dyDescent="0.35">
      <c r="A20" s="49" t="s">
        <v>22</v>
      </c>
      <c r="B20" s="49">
        <v>8.7999999999999995E-2</v>
      </c>
      <c r="C20" s="49">
        <v>1.6</v>
      </c>
      <c r="D20" s="49">
        <v>474</v>
      </c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9"/>
      <c r="AA20" s="49"/>
      <c r="AB20" s="49"/>
      <c r="AC20" s="49"/>
      <c r="AD20" s="49"/>
      <c r="AE20" s="49"/>
      <c r="AF20" s="49"/>
      <c r="AG20" s="49"/>
      <c r="AH20" s="49"/>
      <c r="AI20" s="49"/>
      <c r="AJ20" s="49"/>
      <c r="AK20" s="49"/>
      <c r="AL20" s="49"/>
      <c r="AM20" s="49"/>
      <c r="AN20" s="49"/>
      <c r="AO20" s="49"/>
      <c r="AP20" s="49"/>
    </row>
    <row r="21" spans="1:42" x14ac:dyDescent="0.35">
      <c r="A21" s="49" t="s">
        <v>23</v>
      </c>
      <c r="B21" s="49">
        <v>8.7999999999999995E-2</v>
      </c>
      <c r="C21" s="49">
        <v>1.6</v>
      </c>
      <c r="D21" s="49">
        <v>474</v>
      </c>
      <c r="E21" s="49"/>
      <c r="F21" s="49"/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49"/>
      <c r="AA21" s="49"/>
      <c r="AB21" s="49"/>
      <c r="AC21" s="49"/>
      <c r="AD21" s="49"/>
      <c r="AE21" s="49"/>
      <c r="AF21" s="49"/>
      <c r="AG21" s="49"/>
      <c r="AH21" s="49"/>
      <c r="AI21" s="49"/>
      <c r="AJ21" s="49"/>
      <c r="AK21" s="49"/>
      <c r="AL21" s="49"/>
      <c r="AM21" s="49"/>
      <c r="AN21" s="49"/>
      <c r="AO21" s="49"/>
      <c r="AP21" s="49"/>
    </row>
    <row r="22" spans="1:42" x14ac:dyDescent="0.35">
      <c r="A22" s="49" t="s">
        <v>24</v>
      </c>
      <c r="B22" s="49">
        <v>0.36</v>
      </c>
      <c r="C22" s="49">
        <v>1.6</v>
      </c>
      <c r="D22" s="49">
        <v>470</v>
      </c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49"/>
      <c r="AA22" s="49"/>
      <c r="AB22" s="49"/>
      <c r="AC22" s="49"/>
      <c r="AD22" s="49"/>
      <c r="AE22" s="49"/>
      <c r="AF22" s="49"/>
      <c r="AG22" s="49"/>
      <c r="AH22" s="49"/>
      <c r="AI22" s="49"/>
      <c r="AJ22" s="49"/>
      <c r="AK22" s="49"/>
      <c r="AL22" s="49"/>
      <c r="AM22" s="49"/>
      <c r="AN22" s="49"/>
      <c r="AO22" s="49"/>
      <c r="AP22" s="49"/>
    </row>
    <row r="23" spans="1:42" x14ac:dyDescent="0.35">
      <c r="A23" s="49" t="s">
        <v>25</v>
      </c>
      <c r="B23" s="49">
        <v>8.7999999999999995E-2</v>
      </c>
      <c r="C23" s="49">
        <v>1.6</v>
      </c>
      <c r="D23" s="49">
        <v>474</v>
      </c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  <c r="AA23" s="49"/>
      <c r="AB23" s="49"/>
      <c r="AC23" s="49"/>
      <c r="AD23" s="49"/>
      <c r="AE23" s="49"/>
      <c r="AF23" s="49"/>
      <c r="AG23" s="49"/>
      <c r="AH23" s="49"/>
      <c r="AI23" s="49"/>
      <c r="AJ23" s="49"/>
      <c r="AK23" s="49"/>
      <c r="AL23" s="49"/>
      <c r="AM23" s="49"/>
      <c r="AN23" s="49"/>
      <c r="AO23" s="49"/>
      <c r="AP23" s="49"/>
    </row>
    <row r="24" spans="1:42" x14ac:dyDescent="0.35">
      <c r="A24" s="49" t="s">
        <v>26</v>
      </c>
      <c r="B24" s="49">
        <v>8.7999999999999995E-2</v>
      </c>
      <c r="C24" s="49">
        <v>1.6</v>
      </c>
      <c r="D24" s="49">
        <v>474</v>
      </c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  <c r="AA24" s="49"/>
      <c r="AB24" s="49"/>
      <c r="AC24" s="49"/>
      <c r="AD24" s="49"/>
      <c r="AE24" s="49"/>
      <c r="AF24" s="49"/>
      <c r="AG24" s="49"/>
      <c r="AH24" s="49"/>
      <c r="AI24" s="49"/>
      <c r="AJ24" s="49"/>
      <c r="AK24" s="49"/>
      <c r="AL24" s="49"/>
      <c r="AM24" s="49"/>
      <c r="AN24" s="49"/>
      <c r="AO24" s="49"/>
      <c r="AP24" s="49"/>
    </row>
    <row r="25" spans="1:42" x14ac:dyDescent="0.35">
      <c r="A25" s="49" t="s">
        <v>27</v>
      </c>
      <c r="B25" s="49">
        <v>0.14000000000000001</v>
      </c>
      <c r="C25" s="49">
        <v>0</v>
      </c>
      <c r="D25" s="49">
        <v>1800</v>
      </c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49"/>
      <c r="AB25" s="49"/>
      <c r="AC25" s="49"/>
      <c r="AD25" s="49"/>
      <c r="AE25" s="49"/>
      <c r="AF25" s="49"/>
      <c r="AG25" s="49"/>
      <c r="AH25" s="49"/>
      <c r="AI25" s="49"/>
      <c r="AJ25" s="49"/>
      <c r="AK25" s="49"/>
      <c r="AL25" s="49"/>
      <c r="AM25" s="49"/>
      <c r="AN25" s="49"/>
      <c r="AO25" s="49"/>
      <c r="AP25" s="49"/>
    </row>
    <row r="26" spans="1:42" x14ac:dyDescent="0.35">
      <c r="A26" s="49" t="s">
        <v>28</v>
      </c>
      <c r="B26" s="49">
        <v>3.1</v>
      </c>
      <c r="C26" s="49">
        <v>0</v>
      </c>
      <c r="D26" s="49">
        <v>7850</v>
      </c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  <c r="AA26" s="49"/>
      <c r="AB26" s="49"/>
      <c r="AC26" s="49"/>
      <c r="AD26" s="49"/>
      <c r="AE26" s="49"/>
      <c r="AF26" s="49"/>
      <c r="AG26" s="49"/>
      <c r="AH26" s="49"/>
      <c r="AI26" s="49"/>
      <c r="AJ26" s="49"/>
      <c r="AK26" s="49"/>
      <c r="AL26" s="49"/>
      <c r="AM26" s="49"/>
      <c r="AN26" s="49"/>
      <c r="AO26" s="49"/>
      <c r="AP26" s="49"/>
    </row>
    <row r="27" spans="1:42" ht="15" thickBot="1" x14ac:dyDescent="0.4">
      <c r="A27" s="49" t="s">
        <v>29</v>
      </c>
      <c r="B27" s="49">
        <v>0.67</v>
      </c>
      <c r="C27" s="49">
        <v>0</v>
      </c>
      <c r="D27" s="49">
        <v>7850</v>
      </c>
      <c r="E27" s="49"/>
      <c r="F27" s="49"/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9"/>
      <c r="AA27" s="49"/>
      <c r="AB27" s="49"/>
      <c r="AC27" s="49"/>
      <c r="AD27" s="49"/>
      <c r="AE27" s="49"/>
      <c r="AF27" s="49"/>
      <c r="AG27" s="49"/>
      <c r="AH27" s="49"/>
      <c r="AI27" s="49"/>
      <c r="AJ27" s="49"/>
      <c r="AK27" s="49"/>
      <c r="AL27" s="49"/>
      <c r="AM27" s="49"/>
      <c r="AN27" s="49"/>
      <c r="AO27" s="49"/>
      <c r="AP27" s="49"/>
    </row>
    <row r="28" spans="1:42" x14ac:dyDescent="0.35">
      <c r="A28" s="49" t="s">
        <v>30</v>
      </c>
      <c r="B28" s="49">
        <v>0.15</v>
      </c>
      <c r="C28" s="49">
        <v>0</v>
      </c>
      <c r="D28" s="49">
        <v>2375</v>
      </c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9"/>
      <c r="AA28" s="49"/>
      <c r="AB28" s="49"/>
      <c r="AC28" s="49"/>
      <c r="AD28" s="120" t="s">
        <v>238</v>
      </c>
      <c r="AE28" s="84"/>
      <c r="AF28" s="84"/>
      <c r="AG28" s="84"/>
      <c r="AH28" s="84"/>
      <c r="AI28" s="85"/>
      <c r="AJ28" s="120" t="s">
        <v>158</v>
      </c>
      <c r="AK28" s="84"/>
      <c r="AL28" s="84"/>
      <c r="AM28" s="85"/>
      <c r="AN28" s="49"/>
      <c r="AO28" s="49"/>
      <c r="AP28" s="49"/>
    </row>
    <row r="29" spans="1:42" x14ac:dyDescent="0.35">
      <c r="A29" s="49" t="s">
        <v>31</v>
      </c>
      <c r="B29" s="49">
        <v>0.17</v>
      </c>
      <c r="C29" s="49">
        <v>0</v>
      </c>
      <c r="D29" s="49">
        <v>1410</v>
      </c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49"/>
      <c r="AA29" s="49"/>
      <c r="AB29" s="49"/>
      <c r="AC29" s="49"/>
      <c r="AD29" s="86"/>
      <c r="AE29" s="20" t="s">
        <v>235</v>
      </c>
      <c r="AF29" s="20" t="s">
        <v>236</v>
      </c>
      <c r="AG29" s="20"/>
      <c r="AH29" s="20"/>
      <c r="AI29" s="121"/>
      <c r="AJ29" s="86" t="s">
        <v>243</v>
      </c>
      <c r="AK29" s="20"/>
      <c r="AL29" s="122">
        <f>0.751*18</f>
        <v>13.518000000000001</v>
      </c>
      <c r="AM29" s="121" t="s">
        <v>244</v>
      </c>
      <c r="AN29" s="49"/>
      <c r="AO29" s="49"/>
      <c r="AP29" s="49"/>
    </row>
    <row r="30" spans="1:42" x14ac:dyDescent="0.35">
      <c r="A30" s="49" t="s">
        <v>32</v>
      </c>
      <c r="B30" s="49">
        <v>0.18</v>
      </c>
      <c r="C30" s="49">
        <v>0</v>
      </c>
      <c r="D30" s="49">
        <v>2400</v>
      </c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  <c r="AA30" s="49"/>
      <c r="AB30" s="49"/>
      <c r="AC30" s="49"/>
      <c r="AD30" s="86"/>
      <c r="AE30" s="20"/>
      <c r="AF30" s="20"/>
      <c r="AG30" s="20"/>
      <c r="AH30" s="20"/>
      <c r="AI30" s="121"/>
      <c r="AJ30" s="86">
        <v>17</v>
      </c>
      <c r="AK30" s="20"/>
      <c r="AL30" s="122">
        <f>0.751*22</f>
        <v>16.521999999999998</v>
      </c>
      <c r="AM30" s="121" t="s">
        <v>244</v>
      </c>
      <c r="AN30" s="49"/>
      <c r="AO30" s="49"/>
      <c r="AP30" s="49"/>
    </row>
    <row r="31" spans="1:42" x14ac:dyDescent="0.35">
      <c r="A31" s="49" t="s">
        <v>33</v>
      </c>
      <c r="B31" s="49">
        <v>0.22</v>
      </c>
      <c r="C31" s="49">
        <v>0</v>
      </c>
      <c r="D31" s="49">
        <v>1630</v>
      </c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49"/>
      <c r="AA31" s="49"/>
      <c r="AB31" s="49"/>
      <c r="AC31" s="49"/>
      <c r="AD31" s="86"/>
      <c r="AE31" s="20">
        <f>24*6</f>
        <v>144</v>
      </c>
      <c r="AF31" s="20">
        <f>0.048*0.098*2.99</f>
        <v>1.4064960000000001E-2</v>
      </c>
      <c r="AG31" s="20"/>
      <c r="AH31" s="20"/>
      <c r="AI31" s="121"/>
      <c r="AJ31" s="86">
        <v>15</v>
      </c>
      <c r="AK31" s="20"/>
      <c r="AL31" s="123">
        <f>(AL30+AL29)*AL35*AL36</f>
        <v>0.30640800000000001</v>
      </c>
      <c r="AM31" s="121" t="s">
        <v>212</v>
      </c>
      <c r="AN31" s="49"/>
      <c r="AO31" s="49"/>
      <c r="AP31" s="49"/>
    </row>
    <row r="32" spans="1:42" x14ac:dyDescent="0.35">
      <c r="A32" s="49" t="s">
        <v>34</v>
      </c>
      <c r="B32" s="49">
        <v>0.36</v>
      </c>
      <c r="C32" s="49">
        <v>1.6</v>
      </c>
      <c r="D32" s="49">
        <v>480</v>
      </c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  <c r="AA32" s="49"/>
      <c r="AB32" s="49"/>
      <c r="AC32" s="49"/>
      <c r="AD32" s="86"/>
      <c r="AE32" s="20">
        <f>19*5</f>
        <v>95</v>
      </c>
      <c r="AF32" s="20"/>
      <c r="AG32" s="20"/>
      <c r="AH32" s="20"/>
      <c r="AI32" s="121"/>
      <c r="AJ32" s="86">
        <v>19</v>
      </c>
      <c r="AK32" s="20"/>
      <c r="AL32" s="20"/>
      <c r="AM32" s="121"/>
      <c r="AN32" s="49"/>
      <c r="AO32" s="49"/>
      <c r="AP32" s="49"/>
    </row>
    <row r="33" spans="1:42" x14ac:dyDescent="0.35">
      <c r="A33" s="49"/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  <c r="AA33" s="49"/>
      <c r="AB33" s="49"/>
      <c r="AC33" s="49"/>
      <c r="AD33" s="86"/>
      <c r="AE33" s="20">
        <v>15</v>
      </c>
      <c r="AF33" s="20"/>
      <c r="AG33" s="20"/>
      <c r="AH33" s="20"/>
      <c r="AI33" s="121"/>
      <c r="AJ33" s="86">
        <v>14</v>
      </c>
      <c r="AK33" s="20"/>
      <c r="AL33" s="20"/>
      <c r="AM33" s="121"/>
      <c r="AN33" s="49"/>
      <c r="AO33" s="49"/>
      <c r="AP33" s="49"/>
    </row>
    <row r="34" spans="1:42" x14ac:dyDescent="0.35">
      <c r="A34" s="49"/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  <c r="AA34" s="49"/>
      <c r="AB34" s="49"/>
      <c r="AC34" s="49"/>
      <c r="AD34" s="86"/>
      <c r="AE34" s="20">
        <v>22</v>
      </c>
      <c r="AF34" s="20"/>
      <c r="AG34" s="20"/>
      <c r="AH34" s="20"/>
      <c r="AI34" s="121"/>
      <c r="AJ34" s="86">
        <v>7</v>
      </c>
      <c r="AK34" s="20"/>
      <c r="AL34" s="20"/>
      <c r="AM34" s="121"/>
      <c r="AN34" s="49"/>
      <c r="AO34" s="49"/>
      <c r="AP34" s="49"/>
    </row>
    <row r="35" spans="1:42" x14ac:dyDescent="0.35">
      <c r="A35" s="49"/>
      <c r="B35" s="49"/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9"/>
      <c r="AA35" s="49"/>
      <c r="AB35" s="49"/>
      <c r="AC35" s="49"/>
      <c r="AD35" s="86"/>
      <c r="AE35" s="20">
        <v>25</v>
      </c>
      <c r="AF35" s="20"/>
      <c r="AG35" s="20"/>
      <c r="AH35" s="20"/>
      <c r="AI35" s="121"/>
      <c r="AJ35" s="86">
        <v>20</v>
      </c>
      <c r="AK35" s="20"/>
      <c r="AL35" s="20">
        <v>5.0999999999999997E-2</v>
      </c>
      <c r="AM35" s="121" t="s">
        <v>244</v>
      </c>
      <c r="AN35" s="49"/>
      <c r="AO35" s="49"/>
      <c r="AP35" s="49"/>
    </row>
    <row r="36" spans="1:42" x14ac:dyDescent="0.35">
      <c r="A36" s="49"/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/>
      <c r="AA36" s="49"/>
      <c r="AB36" s="49"/>
      <c r="AC36" s="49"/>
      <c r="AD36" s="86"/>
      <c r="AE36" s="20">
        <v>24</v>
      </c>
      <c r="AF36" s="20"/>
      <c r="AG36" s="20"/>
      <c r="AH36" s="124"/>
      <c r="AI36" s="121"/>
      <c r="AJ36" s="86">
        <v>20</v>
      </c>
      <c r="AK36" s="20"/>
      <c r="AL36" s="20">
        <v>0.2</v>
      </c>
      <c r="AM36" s="121" t="s">
        <v>244</v>
      </c>
      <c r="AN36" s="49"/>
      <c r="AO36" s="49"/>
      <c r="AP36" s="49"/>
    </row>
    <row r="37" spans="1:42" x14ac:dyDescent="0.35">
      <c r="A37" s="49"/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49"/>
      <c r="AB37" s="49"/>
      <c r="AC37" s="49"/>
      <c r="AD37" s="86"/>
      <c r="AE37" s="20">
        <v>19</v>
      </c>
      <c r="AF37" s="20"/>
      <c r="AG37" s="20"/>
      <c r="AH37" s="20"/>
      <c r="AI37" s="121"/>
      <c r="AJ37" s="86">
        <v>18</v>
      </c>
      <c r="AK37" s="20"/>
      <c r="AL37" s="20">
        <v>2.99</v>
      </c>
      <c r="AM37" s="121" t="s">
        <v>244</v>
      </c>
      <c r="AN37" s="49"/>
      <c r="AO37" s="49"/>
      <c r="AP37" s="49"/>
    </row>
    <row r="38" spans="1:42" x14ac:dyDescent="0.35">
      <c r="A38" s="51" t="s">
        <v>214</v>
      </c>
      <c r="B38" s="52" t="s">
        <v>219</v>
      </c>
      <c r="C38" s="52" t="s">
        <v>220</v>
      </c>
      <c r="D38" s="52" t="s">
        <v>215</v>
      </c>
      <c r="E38" s="52" t="s">
        <v>216</v>
      </c>
      <c r="F38" s="52"/>
      <c r="G38" s="52"/>
      <c r="H38" s="52"/>
      <c r="I38" s="52"/>
      <c r="J38" s="53"/>
      <c r="K38" s="49" t="s">
        <v>94</v>
      </c>
      <c r="L38" s="49" t="s">
        <v>91</v>
      </c>
      <c r="M38" s="49" t="s">
        <v>28</v>
      </c>
      <c r="N38" s="49">
        <v>1</v>
      </c>
      <c r="O38" s="49">
        <v>0.6</v>
      </c>
      <c r="P38" s="49">
        <v>8553</v>
      </c>
      <c r="Q38" s="49">
        <v>7850</v>
      </c>
      <c r="R38" s="49">
        <v>3.1</v>
      </c>
      <c r="S38" s="49">
        <v>14601</v>
      </c>
      <c r="T38" s="49">
        <v>0</v>
      </c>
      <c r="U38" s="49">
        <v>0</v>
      </c>
      <c r="V38" s="49" t="s">
        <v>53</v>
      </c>
      <c r="W38" s="49" t="s">
        <v>54</v>
      </c>
      <c r="X38" s="49"/>
      <c r="Y38" s="49"/>
      <c r="Z38" s="49"/>
      <c r="AA38" s="49"/>
      <c r="AB38" s="49"/>
      <c r="AC38" s="49"/>
      <c r="AD38" s="86"/>
      <c r="AE38" s="20">
        <v>26</v>
      </c>
      <c r="AF38" s="20"/>
      <c r="AG38" s="20"/>
      <c r="AH38" s="20"/>
      <c r="AI38" s="121"/>
      <c r="AJ38" s="86">
        <v>24</v>
      </c>
      <c r="AK38" s="20"/>
      <c r="AL38" s="20"/>
      <c r="AM38" s="121"/>
      <c r="AN38" s="49"/>
      <c r="AO38" s="49"/>
      <c r="AP38" s="49"/>
    </row>
    <row r="39" spans="1:42" x14ac:dyDescent="0.35">
      <c r="A39" s="54"/>
      <c r="B39" s="20">
        <f>0.82+0.67</f>
        <v>1.49</v>
      </c>
      <c r="C39" s="20"/>
      <c r="D39" s="20">
        <v>4</v>
      </c>
      <c r="E39" s="20">
        <v>1833</v>
      </c>
      <c r="F39" s="20"/>
      <c r="G39" s="20" t="s">
        <v>35</v>
      </c>
      <c r="H39" s="20"/>
      <c r="I39" s="20"/>
      <c r="J39" s="50"/>
      <c r="K39" s="49" t="s">
        <v>90</v>
      </c>
      <c r="L39" s="49" t="s">
        <v>91</v>
      </c>
      <c r="M39" s="49" t="s">
        <v>22</v>
      </c>
      <c r="N39" s="49">
        <v>25</v>
      </c>
      <c r="O39" s="49">
        <v>14.8</v>
      </c>
      <c r="P39" s="49">
        <v>7424.4</v>
      </c>
      <c r="Q39" s="49">
        <v>474</v>
      </c>
      <c r="R39" s="49">
        <v>0.09</v>
      </c>
      <c r="S39" s="49">
        <v>631.36800000000005</v>
      </c>
      <c r="T39" s="49">
        <v>1.6</v>
      </c>
      <c r="U39" s="49">
        <v>11224.320000000002</v>
      </c>
      <c r="V39" s="49" t="s">
        <v>53</v>
      </c>
      <c r="W39" s="49" t="s">
        <v>54</v>
      </c>
      <c r="X39" s="49"/>
      <c r="Y39" s="49"/>
      <c r="Z39" s="49"/>
      <c r="AA39" s="49"/>
      <c r="AB39" s="49"/>
      <c r="AC39" s="49"/>
      <c r="AD39" s="86"/>
      <c r="AE39" s="20">
        <v>29</v>
      </c>
      <c r="AF39" s="20"/>
      <c r="AG39" s="20"/>
      <c r="AH39" s="20"/>
      <c r="AI39" s="121"/>
      <c r="AJ39" s="86">
        <v>12</v>
      </c>
      <c r="AK39" s="20"/>
      <c r="AL39" s="20"/>
      <c r="AM39" s="121"/>
      <c r="AN39" s="49"/>
      <c r="AO39" s="49"/>
      <c r="AP39" s="49"/>
    </row>
    <row r="40" spans="1:42" ht="15" thickBot="1" x14ac:dyDescent="0.4">
      <c r="A40" s="54"/>
      <c r="B40" s="20"/>
      <c r="C40" s="20"/>
      <c r="D40" s="20">
        <v>5</v>
      </c>
      <c r="E40" s="20">
        <v>1389</v>
      </c>
      <c r="F40" s="125" t="s">
        <v>221</v>
      </c>
      <c r="G40" s="20">
        <f>(D39+D40)*594</f>
        <v>5346</v>
      </c>
      <c r="H40" s="20" t="s">
        <v>222</v>
      </c>
      <c r="I40" s="20"/>
      <c r="J40" s="50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49"/>
      <c r="AA40" s="49"/>
      <c r="AB40" s="49"/>
      <c r="AC40" s="49"/>
      <c r="AD40" s="86"/>
      <c r="AE40" s="20">
        <v>12</v>
      </c>
      <c r="AF40" s="20"/>
      <c r="AG40" s="20"/>
      <c r="AH40" s="20"/>
      <c r="AI40" s="121"/>
      <c r="AJ40" s="86">
        <v>14</v>
      </c>
      <c r="AK40" s="20"/>
      <c r="AL40" s="20"/>
      <c r="AM40" s="121"/>
      <c r="AN40" s="49"/>
      <c r="AO40" s="49"/>
      <c r="AP40" s="49"/>
    </row>
    <row r="41" spans="1:42" ht="15" thickBot="1" x14ac:dyDescent="0.4">
      <c r="A41" s="78" t="s">
        <v>224</v>
      </c>
      <c r="B41" s="75">
        <f>0.09*(14.8*474)</f>
        <v>631.36800000000005</v>
      </c>
      <c r="C41" s="75">
        <f>1.6*(474*14.8)</f>
        <v>11224.320000000002</v>
      </c>
      <c r="D41" s="75"/>
      <c r="E41" s="75"/>
      <c r="F41" s="75"/>
      <c r="G41" s="75">
        <f>G40*B39</f>
        <v>7965.54</v>
      </c>
      <c r="H41" s="75" t="s">
        <v>44</v>
      </c>
      <c r="I41" s="75"/>
      <c r="J41" s="77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49"/>
      <c r="AA41" s="49"/>
      <c r="AB41" s="49"/>
      <c r="AC41" s="49"/>
      <c r="AD41" s="86"/>
      <c r="AE41" s="20">
        <v>18</v>
      </c>
      <c r="AF41" s="20"/>
      <c r="AG41" s="20"/>
      <c r="AH41" s="20"/>
      <c r="AI41" s="121"/>
      <c r="AJ41" s="126">
        <f>SUM(AJ30:AJ40)</f>
        <v>180</v>
      </c>
      <c r="AK41" s="123">
        <f>AJ41*(AL35*AL36*AL37)</f>
        <v>5.4896400000000005</v>
      </c>
      <c r="AL41" s="20" t="s">
        <v>212</v>
      </c>
      <c r="AM41" s="121"/>
      <c r="AN41" s="49"/>
      <c r="AO41" s="49"/>
      <c r="AP41" s="49"/>
    </row>
    <row r="42" spans="1:42" ht="15" thickBot="1" x14ac:dyDescent="0.4">
      <c r="A42" s="51" t="s">
        <v>217</v>
      </c>
      <c r="B42" s="52">
        <v>0.16</v>
      </c>
      <c r="C42" s="52"/>
      <c r="D42" s="52"/>
      <c r="E42" s="52"/>
      <c r="F42" s="52">
        <f>(594*39)*B42</f>
        <v>3706.56</v>
      </c>
      <c r="G42" s="52"/>
      <c r="H42" s="52"/>
      <c r="I42" s="52"/>
      <c r="J42" s="53"/>
      <c r="K42" s="49" t="s">
        <v>227</v>
      </c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49"/>
      <c r="AA42" s="49"/>
      <c r="AB42" s="49"/>
      <c r="AC42" s="49"/>
      <c r="AD42" s="86"/>
      <c r="AE42" s="20">
        <v>22</v>
      </c>
      <c r="AF42" s="20"/>
      <c r="AG42" s="20"/>
      <c r="AH42" s="20"/>
      <c r="AI42" s="121"/>
      <c r="AJ42" s="86"/>
      <c r="AK42" s="20"/>
      <c r="AL42" s="20"/>
      <c r="AM42" s="121"/>
      <c r="AN42" s="49"/>
      <c r="AO42" s="49"/>
      <c r="AP42" s="49"/>
    </row>
    <row r="43" spans="1:42" ht="15" thickBot="1" x14ac:dyDescent="0.4">
      <c r="A43" s="78" t="s">
        <v>223</v>
      </c>
      <c r="B43" s="75">
        <v>0.09</v>
      </c>
      <c r="C43" s="75">
        <v>1.6</v>
      </c>
      <c r="D43" s="75"/>
      <c r="E43" s="75">
        <v>474</v>
      </c>
      <c r="F43" s="75">
        <f>(E43*I43)*B43</f>
        <v>255.95999999999998</v>
      </c>
      <c r="G43" s="75">
        <f>(I43*E43)*C43</f>
        <v>4550.4000000000005</v>
      </c>
      <c r="H43" s="75" t="s">
        <v>44</v>
      </c>
      <c r="I43" s="75">
        <v>6</v>
      </c>
      <c r="J43" s="77" t="s">
        <v>212</v>
      </c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  <c r="AA43" s="49"/>
      <c r="AB43" s="49"/>
      <c r="AC43" s="49"/>
      <c r="AD43" s="86"/>
      <c r="AE43" s="126">
        <f>SUM(AE31:AE42)</f>
        <v>451</v>
      </c>
      <c r="AF43" s="124">
        <f>AE43*AF31</f>
        <v>6.3432969600000009</v>
      </c>
      <c r="AG43" s="20" t="s">
        <v>237</v>
      </c>
      <c r="AH43" s="20"/>
      <c r="AI43" s="121"/>
      <c r="AJ43" s="86"/>
      <c r="AK43" s="124">
        <f>AK41+AL31</f>
        <v>5.7960480000000008</v>
      </c>
      <c r="AL43" s="20" t="s">
        <v>237</v>
      </c>
      <c r="AM43" s="121"/>
      <c r="AN43" s="49"/>
      <c r="AO43" s="49"/>
      <c r="AP43" s="49"/>
    </row>
    <row r="44" spans="1:42" x14ac:dyDescent="0.35">
      <c r="A44" s="51" t="s">
        <v>218</v>
      </c>
      <c r="B44" s="52">
        <v>3.1</v>
      </c>
      <c r="C44" s="52"/>
      <c r="D44" s="52"/>
      <c r="E44" s="52">
        <v>925</v>
      </c>
      <c r="F44" s="52"/>
      <c r="G44" s="52"/>
      <c r="H44" s="52"/>
      <c r="I44" s="52"/>
      <c r="J44" s="53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  <c r="AA44" s="49"/>
      <c r="AB44" s="49"/>
      <c r="AC44" s="49"/>
      <c r="AD44" s="86"/>
      <c r="AE44" s="20"/>
      <c r="AF44" s="20"/>
      <c r="AG44" s="20"/>
      <c r="AH44" s="20"/>
      <c r="AI44" s="121"/>
      <c r="AJ44" s="86"/>
      <c r="AK44" s="124">
        <f>5*AK43</f>
        <v>28.980240000000002</v>
      </c>
      <c r="AL44" s="20" t="s">
        <v>245</v>
      </c>
      <c r="AM44" s="121"/>
      <c r="AN44" s="49"/>
      <c r="AO44" s="49"/>
      <c r="AP44" s="49"/>
    </row>
    <row r="45" spans="1:42" ht="15" thickBot="1" x14ac:dyDescent="0.4">
      <c r="A45" s="54"/>
      <c r="B45" s="20"/>
      <c r="C45" s="20"/>
      <c r="D45" s="20"/>
      <c r="E45" s="20"/>
      <c r="F45" s="20"/>
      <c r="G45" s="20"/>
      <c r="H45" s="20"/>
      <c r="I45" s="20"/>
      <c r="J45" s="50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  <c r="AA45" s="49"/>
      <c r="AB45" s="49"/>
      <c r="AC45" s="49"/>
      <c r="AD45" s="86"/>
      <c r="AE45" s="20"/>
      <c r="AF45" s="20"/>
      <c r="AG45" s="20"/>
      <c r="AH45" s="20"/>
      <c r="AI45" s="121"/>
      <c r="AJ45" s="88"/>
      <c r="AK45" s="127"/>
      <c r="AL45" s="127"/>
      <c r="AM45" s="128"/>
      <c r="AN45" s="49"/>
      <c r="AO45" s="49"/>
      <c r="AP45" s="49"/>
    </row>
    <row r="46" spans="1:42" ht="15" thickBot="1" x14ac:dyDescent="0.4">
      <c r="A46" s="78"/>
      <c r="B46" s="75"/>
      <c r="C46" s="75"/>
      <c r="D46" s="75"/>
      <c r="E46" s="75"/>
      <c r="F46" s="75"/>
      <c r="G46" s="75"/>
      <c r="H46" s="75"/>
      <c r="I46" s="75"/>
      <c r="J46" s="77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49"/>
      <c r="AC46" s="49"/>
      <c r="AD46" s="88"/>
      <c r="AE46" s="127"/>
      <c r="AF46" s="127"/>
      <c r="AG46" s="127"/>
      <c r="AH46" s="127"/>
      <c r="AI46" s="127"/>
      <c r="AJ46" s="120" t="s">
        <v>246</v>
      </c>
      <c r="AK46" s="84"/>
      <c r="AL46" s="84"/>
      <c r="AM46" s="85"/>
      <c r="AN46" s="49"/>
      <c r="AO46" s="49"/>
      <c r="AP46" s="49"/>
    </row>
    <row r="47" spans="1:42" x14ac:dyDescent="0.35">
      <c r="A47" s="51" t="s">
        <v>209</v>
      </c>
      <c r="B47" s="52">
        <v>0.6</v>
      </c>
      <c r="C47" s="52"/>
      <c r="D47" s="52"/>
      <c r="E47" s="52">
        <v>8940</v>
      </c>
      <c r="F47" s="52"/>
      <c r="G47" s="52">
        <f>594*0.001</f>
        <v>0.59399999999999997</v>
      </c>
      <c r="H47" s="52" t="s">
        <v>212</v>
      </c>
      <c r="I47" s="52"/>
      <c r="J47" s="53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  <c r="AA47" s="49"/>
      <c r="AB47" s="49"/>
      <c r="AC47" s="49"/>
      <c r="AD47" s="120"/>
      <c r="AE47" s="84" t="s">
        <v>239</v>
      </c>
      <c r="AF47" s="84">
        <f>(6.75*4)*4</f>
        <v>108</v>
      </c>
      <c r="AG47" s="84"/>
      <c r="AH47" s="84">
        <v>4.8000000000000001E-2</v>
      </c>
      <c r="AI47" s="84"/>
      <c r="AJ47" s="86"/>
      <c r="AK47" s="20"/>
      <c r="AL47" s="20">
        <f>12.57*4</f>
        <v>50.28</v>
      </c>
      <c r="AM47" s="121" t="s">
        <v>244</v>
      </c>
      <c r="AN47" s="49"/>
      <c r="AO47" s="49"/>
      <c r="AP47" s="49"/>
    </row>
    <row r="48" spans="1:42" x14ac:dyDescent="0.35">
      <c r="A48" s="54"/>
      <c r="B48" s="20"/>
      <c r="C48" s="20"/>
      <c r="D48" s="20"/>
      <c r="E48" s="20"/>
      <c r="F48" s="20"/>
      <c r="G48" s="20"/>
      <c r="H48" s="20"/>
      <c r="I48" s="20"/>
      <c r="J48" s="50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  <c r="AA48" s="49"/>
      <c r="AB48" s="49"/>
      <c r="AC48" s="49"/>
      <c r="AD48" s="86"/>
      <c r="AE48" s="20"/>
      <c r="AF48" s="20">
        <f>(8.684*4)*2</f>
        <v>69.471999999999994</v>
      </c>
      <c r="AG48" s="20"/>
      <c r="AH48" s="20">
        <v>9.8000000000000004E-2</v>
      </c>
      <c r="AI48" s="20"/>
      <c r="AJ48" s="86"/>
      <c r="AK48" s="20"/>
      <c r="AL48" s="20">
        <f>32.2*4</f>
        <v>128.80000000000001</v>
      </c>
      <c r="AM48" s="121" t="s">
        <v>244</v>
      </c>
      <c r="AN48" s="49"/>
      <c r="AO48" s="49"/>
      <c r="AP48" s="49"/>
    </row>
    <row r="49" spans="1:42" x14ac:dyDescent="0.35">
      <c r="A49" s="78"/>
      <c r="B49" s="75"/>
      <c r="C49" s="75"/>
      <c r="D49" s="75"/>
      <c r="E49" s="75"/>
      <c r="F49" s="75"/>
      <c r="G49" s="75">
        <f>(E47*G47)*B47</f>
        <v>3186.2159999999999</v>
      </c>
      <c r="H49" s="75" t="s">
        <v>44</v>
      </c>
      <c r="I49" s="75"/>
      <c r="J49" s="77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  <c r="AA49" s="49"/>
      <c r="AB49" s="49"/>
      <c r="AC49" s="49"/>
      <c r="AD49" s="86"/>
      <c r="AE49" s="20"/>
      <c r="AF49" s="20">
        <f>(4.724*4)*5</f>
        <v>94.48</v>
      </c>
      <c r="AG49" s="20"/>
      <c r="AH49" s="20"/>
      <c r="AI49" s="20"/>
      <c r="AJ49" s="86"/>
      <c r="AK49" s="20"/>
      <c r="AL49" s="20">
        <f>2.5*11</f>
        <v>27.5</v>
      </c>
      <c r="AM49" s="121" t="s">
        <v>244</v>
      </c>
      <c r="AN49" s="49"/>
      <c r="AO49" s="49"/>
      <c r="AP49" s="49"/>
    </row>
    <row r="50" spans="1:42" x14ac:dyDescent="0.35">
      <c r="A50" s="49"/>
      <c r="B50" s="49"/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  <c r="AA50" s="49"/>
      <c r="AB50" s="49"/>
      <c r="AC50" s="49"/>
      <c r="AD50" s="86"/>
      <c r="AE50" s="20"/>
      <c r="AF50" s="20">
        <f>4.593*2</f>
        <v>9.1859999999999999</v>
      </c>
      <c r="AG50" s="20"/>
      <c r="AH50" s="20"/>
      <c r="AI50" s="20"/>
      <c r="AJ50" s="86"/>
      <c r="AK50" s="20"/>
      <c r="AL50" s="20">
        <f>4</f>
        <v>4</v>
      </c>
      <c r="AM50" s="121" t="s">
        <v>244</v>
      </c>
      <c r="AN50" s="49"/>
      <c r="AO50" s="49"/>
      <c r="AP50" s="49"/>
    </row>
    <row r="51" spans="1:42" x14ac:dyDescent="0.35">
      <c r="A51" s="49"/>
      <c r="B51" s="49"/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  <c r="AA51" s="49"/>
      <c r="AB51" s="49"/>
      <c r="AC51" s="49"/>
      <c r="AD51" s="86"/>
      <c r="AE51" s="20"/>
      <c r="AF51" s="20">
        <f>(2.545*2)*2</f>
        <v>10.18</v>
      </c>
      <c r="AG51" s="20"/>
      <c r="AH51" s="122">
        <f>AH47*AH48*AF56</f>
        <v>2.2322455679999997</v>
      </c>
      <c r="AI51" s="20" t="s">
        <v>212</v>
      </c>
      <c r="AJ51" s="86"/>
      <c r="AK51" s="20"/>
      <c r="AL51" s="20">
        <f>12.5</f>
        <v>12.5</v>
      </c>
      <c r="AM51" s="121" t="s">
        <v>244</v>
      </c>
      <c r="AN51" s="49"/>
      <c r="AO51" s="49"/>
      <c r="AP51" s="49"/>
    </row>
    <row r="52" spans="1:42" x14ac:dyDescent="0.35">
      <c r="A52" s="49"/>
      <c r="B52" s="49"/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49"/>
      <c r="X52" s="49"/>
      <c r="Y52" s="49"/>
      <c r="Z52" s="49"/>
      <c r="AA52" s="49"/>
      <c r="AB52" s="49"/>
      <c r="AC52" s="49"/>
      <c r="AD52" s="86"/>
      <c r="AE52" s="20"/>
      <c r="AF52" s="20">
        <f>22.682*2</f>
        <v>45.363999999999997</v>
      </c>
      <c r="AG52" s="20"/>
      <c r="AH52" s="20"/>
      <c r="AI52" s="20"/>
      <c r="AJ52" s="86"/>
      <c r="AK52" s="20"/>
      <c r="AL52" s="20">
        <f>14*2</f>
        <v>28</v>
      </c>
      <c r="AM52" s="121" t="s">
        <v>244</v>
      </c>
      <c r="AN52" s="49"/>
      <c r="AO52" s="49"/>
      <c r="AP52" s="49"/>
    </row>
    <row r="53" spans="1:42" x14ac:dyDescent="0.35">
      <c r="A53" s="49"/>
      <c r="B53" s="49"/>
      <c r="C53" s="4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49"/>
      <c r="X53" s="49"/>
      <c r="Y53" s="49"/>
      <c r="Z53" s="49"/>
      <c r="AA53" s="49"/>
      <c r="AB53" s="49"/>
      <c r="AC53" s="49"/>
      <c r="AD53" s="86"/>
      <c r="AE53" s="20"/>
      <c r="AF53" s="20">
        <f>17.79*2</f>
        <v>35.58</v>
      </c>
      <c r="AG53" s="20"/>
      <c r="AH53" s="20"/>
      <c r="AI53" s="20"/>
      <c r="AJ53" s="86"/>
      <c r="AK53" s="20"/>
      <c r="AL53" s="20">
        <f>21</f>
        <v>21</v>
      </c>
      <c r="AM53" s="121" t="s">
        <v>244</v>
      </c>
      <c r="AN53" s="49"/>
      <c r="AO53" s="49"/>
      <c r="AP53" s="49"/>
    </row>
    <row r="54" spans="1:42" x14ac:dyDescent="0.35">
      <c r="A54" s="49"/>
      <c r="B54" s="49"/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  <c r="Z54" s="49"/>
      <c r="AA54" s="49"/>
      <c r="AB54" s="49"/>
      <c r="AC54" s="49"/>
      <c r="AD54" s="86"/>
      <c r="AE54" s="20"/>
      <c r="AF54" s="20">
        <f>11.87*4</f>
        <v>47.48</v>
      </c>
      <c r="AG54" s="20"/>
      <c r="AH54" s="20"/>
      <c r="AI54" s="20"/>
      <c r="AJ54" s="86"/>
      <c r="AK54" s="20"/>
      <c r="AL54" s="20">
        <f>SUM(AL47:AL53)</f>
        <v>272.08000000000004</v>
      </c>
      <c r="AM54" s="121" t="s">
        <v>244</v>
      </c>
      <c r="AN54" s="49"/>
      <c r="AO54" s="49"/>
      <c r="AP54" s="49"/>
    </row>
    <row r="55" spans="1:42" ht="15" thickBot="1" x14ac:dyDescent="0.4">
      <c r="A55" s="49"/>
      <c r="B55" s="49"/>
      <c r="C55" s="49"/>
      <c r="D55" s="49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49"/>
      <c r="AB55" s="49"/>
      <c r="AC55" s="49"/>
      <c r="AD55" s="86"/>
      <c r="AE55" s="20"/>
      <c r="AF55" s="20">
        <f>13.7*4</f>
        <v>54.8</v>
      </c>
      <c r="AG55" s="20"/>
      <c r="AH55" s="20"/>
      <c r="AI55" s="20"/>
      <c r="AJ55" s="86"/>
      <c r="AK55" s="20"/>
      <c r="AL55" s="122">
        <f>AL35*AL36*AL54</f>
        <v>2.7752160000000008</v>
      </c>
      <c r="AM55" s="121" t="s">
        <v>212</v>
      </c>
      <c r="AN55" s="49"/>
      <c r="AO55" s="49"/>
      <c r="AP55" s="49"/>
    </row>
    <row r="56" spans="1:42" ht="15" thickBot="1" x14ac:dyDescent="0.4">
      <c r="A56" s="49"/>
      <c r="B56" s="49"/>
      <c r="C56" s="49"/>
      <c r="D56" s="49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  <c r="AA56" s="49"/>
      <c r="AB56" s="49"/>
      <c r="AC56" s="49"/>
      <c r="AD56" s="86"/>
      <c r="AE56" s="20"/>
      <c r="AF56" s="129">
        <f>SUM(AF47:AF55)</f>
        <v>474.54199999999997</v>
      </c>
      <c r="AG56" s="20"/>
      <c r="AH56" s="49"/>
      <c r="AI56" s="49"/>
      <c r="AJ56" s="86"/>
      <c r="AK56" s="20"/>
      <c r="AL56" s="68">
        <f>5*AL55</f>
        <v>13.876080000000004</v>
      </c>
      <c r="AM56" s="121" t="s">
        <v>248</v>
      </c>
      <c r="AN56" s="49"/>
      <c r="AO56" s="49"/>
      <c r="AP56" s="49"/>
    </row>
    <row r="57" spans="1:42" ht="15" thickBot="1" x14ac:dyDescent="0.4">
      <c r="A57" s="49"/>
      <c r="B57" s="49"/>
      <c r="C57" s="49"/>
      <c r="D57" s="49"/>
      <c r="E57" s="49"/>
      <c r="F57" s="49"/>
      <c r="G57" s="49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  <c r="AA57" s="49"/>
      <c r="AB57" s="49"/>
      <c r="AC57" s="49"/>
      <c r="AD57" s="130"/>
      <c r="AE57" s="131"/>
      <c r="AF57" s="131"/>
      <c r="AG57" s="84" t="s">
        <v>240</v>
      </c>
      <c r="AH57" s="132">
        <f>AF43+AH51</f>
        <v>8.5755425279999997</v>
      </c>
      <c r="AI57" s="133" t="s">
        <v>212</v>
      </c>
      <c r="AJ57" s="131" t="s">
        <v>247</v>
      </c>
      <c r="AK57" s="134">
        <f>AK44+AL56</f>
        <v>42.856320000000004</v>
      </c>
      <c r="AL57" s="131"/>
      <c r="AM57" s="133"/>
      <c r="AN57" s="49"/>
      <c r="AO57" s="49"/>
      <c r="AP57" s="49"/>
    </row>
    <row r="58" spans="1:42" x14ac:dyDescent="0.35">
      <c r="A58" s="49"/>
      <c r="B58" s="49"/>
      <c r="C58" s="49"/>
      <c r="D58" s="49"/>
      <c r="E58" s="49"/>
      <c r="F58" s="49"/>
      <c r="G58" s="49"/>
      <c r="H58" s="49"/>
      <c r="I58" s="49"/>
      <c r="J58" s="49"/>
      <c r="K58" s="49"/>
      <c r="L58" s="49"/>
      <c r="M58" s="49"/>
      <c r="N58" s="49"/>
      <c r="O58" s="49"/>
      <c r="P58" s="49"/>
      <c r="Q58" s="49"/>
      <c r="R58" s="49"/>
      <c r="S58" s="49"/>
      <c r="T58" s="49"/>
      <c r="U58" s="49"/>
      <c r="V58" s="49"/>
      <c r="W58" s="49"/>
      <c r="X58" s="49"/>
      <c r="Y58" s="49"/>
      <c r="Z58" s="49"/>
      <c r="AA58" s="49"/>
      <c r="AB58" s="49"/>
      <c r="AC58" s="49"/>
      <c r="AD58" s="86"/>
      <c r="AE58" s="20"/>
      <c r="AF58" s="20"/>
      <c r="AG58" s="20"/>
      <c r="AH58" s="20"/>
      <c r="AI58" s="121"/>
      <c r="AJ58" s="20"/>
      <c r="AK58" s="20"/>
      <c r="AL58" s="20"/>
      <c r="AM58" s="121"/>
      <c r="AN58" s="49"/>
      <c r="AO58" s="49"/>
      <c r="AP58" s="49"/>
    </row>
    <row r="59" spans="1:42" x14ac:dyDescent="0.35">
      <c r="A59" s="49"/>
      <c r="B59" s="49"/>
      <c r="C59" s="49"/>
      <c r="D59" s="49"/>
      <c r="E59" s="49"/>
      <c r="F59" s="49"/>
      <c r="G59" s="49"/>
      <c r="H59" s="49"/>
      <c r="I59" s="49"/>
      <c r="J59" s="49"/>
      <c r="K59" s="49"/>
      <c r="L59" s="49"/>
      <c r="M59" s="49"/>
      <c r="N59" s="49"/>
      <c r="O59" s="49"/>
      <c r="P59" s="49"/>
      <c r="Q59" s="49"/>
      <c r="R59" s="49"/>
      <c r="S59" s="49"/>
      <c r="T59" s="49"/>
      <c r="U59" s="49"/>
      <c r="V59" s="49"/>
      <c r="W59" s="49"/>
      <c r="X59" s="49"/>
      <c r="Y59" s="49"/>
      <c r="Z59" s="49"/>
      <c r="AA59" s="49"/>
      <c r="AB59" s="49"/>
      <c r="AC59" s="49"/>
      <c r="AD59" s="86"/>
      <c r="AE59" s="20"/>
      <c r="AF59" s="20"/>
      <c r="AG59" s="20" t="s">
        <v>241</v>
      </c>
      <c r="AH59" s="20"/>
      <c r="AI59" s="121"/>
      <c r="AJ59" s="20"/>
      <c r="AK59" s="20" t="s">
        <v>249</v>
      </c>
      <c r="AL59" s="20" t="s">
        <v>160</v>
      </c>
      <c r="AM59" s="121" t="s">
        <v>161</v>
      </c>
      <c r="AN59" s="49"/>
      <c r="AO59" s="49"/>
      <c r="AP59" s="49"/>
    </row>
    <row r="60" spans="1:42" x14ac:dyDescent="0.35">
      <c r="A60" s="49"/>
      <c r="B60" s="49"/>
      <c r="C60" s="49"/>
      <c r="D60" s="49"/>
      <c r="E60" s="49"/>
      <c r="F60" s="49"/>
      <c r="G60" s="49"/>
      <c r="H60" s="49"/>
      <c r="I60" s="49"/>
      <c r="J60" s="49"/>
      <c r="K60" s="49"/>
      <c r="L60" s="49"/>
      <c r="M60" s="49"/>
      <c r="N60" s="49"/>
      <c r="O60" s="49"/>
      <c r="P60" s="49"/>
      <c r="Q60" s="49"/>
      <c r="R60" s="49"/>
      <c r="S60" s="49"/>
      <c r="T60" s="49"/>
      <c r="U60" s="49"/>
      <c r="V60" s="49"/>
      <c r="W60" s="49"/>
      <c r="X60" s="49"/>
      <c r="Y60" s="49"/>
      <c r="Z60" s="49"/>
      <c r="AA60" s="49"/>
      <c r="AB60" s="49"/>
      <c r="AC60" s="49"/>
      <c r="AD60" s="86"/>
      <c r="AE60" s="20"/>
      <c r="AF60" s="20"/>
      <c r="AG60" s="20" t="s">
        <v>160</v>
      </c>
      <c r="AH60" s="68">
        <f>AH57*474*0.088</f>
        <v>357.70302992793597</v>
      </c>
      <c r="AI60" s="121" t="s">
        <v>44</v>
      </c>
      <c r="AJ60" s="20"/>
      <c r="AK60" s="20"/>
      <c r="AL60" s="68">
        <f>0.36*440*AK57</f>
        <v>6788.4410880000005</v>
      </c>
      <c r="AM60" s="87">
        <f>1.6*AK57*440</f>
        <v>30170.849280000002</v>
      </c>
      <c r="AN60" s="49"/>
      <c r="AO60" s="49"/>
      <c r="AP60" s="49"/>
    </row>
    <row r="61" spans="1:42" x14ac:dyDescent="0.35">
      <c r="A61" s="49"/>
      <c r="B61" s="49"/>
      <c r="C61" s="49"/>
      <c r="D61" s="49"/>
      <c r="E61" s="49"/>
      <c r="F61" s="49"/>
      <c r="G61" s="49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49"/>
      <c r="X61" s="49"/>
      <c r="Y61" s="49"/>
      <c r="Z61" s="49"/>
      <c r="AA61" s="49"/>
      <c r="AB61" s="49"/>
      <c r="AC61" s="49"/>
      <c r="AD61" s="86"/>
      <c r="AE61" s="20"/>
      <c r="AF61" s="20"/>
      <c r="AG61" s="20" t="s">
        <v>161</v>
      </c>
      <c r="AH61" s="68">
        <f>1.6*AH57*474</f>
        <v>6503.6914532352002</v>
      </c>
      <c r="AI61" s="121" t="s">
        <v>44</v>
      </c>
      <c r="AJ61" s="20"/>
      <c r="AK61" s="20"/>
      <c r="AL61" s="20"/>
      <c r="AM61" s="121"/>
      <c r="AN61" s="49"/>
      <c r="AO61" s="49"/>
      <c r="AP61" s="49"/>
    </row>
    <row r="62" spans="1:42" ht="15" thickBot="1" x14ac:dyDescent="0.4">
      <c r="A62" s="49"/>
      <c r="B62" s="49"/>
      <c r="C62" s="49"/>
      <c r="D62" s="49"/>
      <c r="E62" s="49"/>
      <c r="F62" s="49"/>
      <c r="G62" s="49"/>
      <c r="H62" s="49"/>
      <c r="I62" s="49"/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49"/>
      <c r="Z62" s="49"/>
      <c r="AA62" s="49"/>
      <c r="AB62" s="49"/>
      <c r="AC62" s="49"/>
      <c r="AD62" s="86"/>
      <c r="AE62" s="20"/>
      <c r="AF62" s="20"/>
      <c r="AG62" s="20" t="s">
        <v>242</v>
      </c>
      <c r="AH62" s="20"/>
      <c r="AI62" s="121"/>
      <c r="AJ62" s="127"/>
      <c r="AK62" s="127"/>
      <c r="AL62" s="127"/>
      <c r="AM62" s="128"/>
      <c r="AN62" s="49"/>
      <c r="AO62" s="49"/>
      <c r="AP62" s="49"/>
    </row>
    <row r="63" spans="1:42" x14ac:dyDescent="0.35">
      <c r="A63" s="49"/>
      <c r="B63" s="49"/>
      <c r="C63" s="49"/>
      <c r="D63" s="49"/>
      <c r="E63" s="49"/>
      <c r="F63" s="49"/>
      <c r="G63" s="49"/>
      <c r="H63" s="49"/>
      <c r="I63" s="49"/>
      <c r="J63" s="49"/>
      <c r="K63" s="49"/>
      <c r="L63" s="49"/>
      <c r="M63" s="49"/>
      <c r="N63" s="49"/>
      <c r="O63" s="49"/>
      <c r="P63" s="49"/>
      <c r="Q63" s="49"/>
      <c r="R63" s="49"/>
      <c r="S63" s="49"/>
      <c r="T63" s="49"/>
      <c r="U63" s="49"/>
      <c r="V63" s="49"/>
      <c r="W63" s="49"/>
      <c r="X63" s="49"/>
      <c r="Y63" s="49"/>
      <c r="Z63" s="49"/>
      <c r="AA63" s="49"/>
      <c r="AB63" s="49"/>
      <c r="AC63" s="49"/>
      <c r="AD63" s="86"/>
      <c r="AE63" s="20"/>
      <c r="AF63" s="20"/>
      <c r="AG63" s="20" t="s">
        <v>160</v>
      </c>
      <c r="AH63" s="68">
        <f>5*AH60</f>
        <v>1788.5151496396797</v>
      </c>
      <c r="AI63" s="121" t="s">
        <v>44</v>
      </c>
      <c r="AJ63" s="49"/>
      <c r="AK63" s="49"/>
      <c r="AL63" s="49"/>
      <c r="AM63" s="49"/>
      <c r="AN63" s="49"/>
      <c r="AO63" s="49"/>
      <c r="AP63" s="49"/>
    </row>
    <row r="64" spans="1:42" x14ac:dyDescent="0.35">
      <c r="A64" s="49"/>
      <c r="B64" s="49"/>
      <c r="C64" s="49"/>
      <c r="D64" s="49"/>
      <c r="E64" s="49"/>
      <c r="F64" s="49"/>
      <c r="G64" s="49"/>
      <c r="H64" s="49"/>
      <c r="I64" s="49"/>
      <c r="J64" s="49"/>
      <c r="K64" s="49"/>
      <c r="L64" s="49"/>
      <c r="M64" s="49"/>
      <c r="N64" s="49"/>
      <c r="O64" s="49"/>
      <c r="P64" s="49"/>
      <c r="Q64" s="49"/>
      <c r="R64" s="49"/>
      <c r="S64" s="49"/>
      <c r="T64" s="49"/>
      <c r="U64" s="49"/>
      <c r="V64" s="49"/>
      <c r="W64" s="49"/>
      <c r="X64" s="49"/>
      <c r="Y64" s="49"/>
      <c r="Z64" s="49"/>
      <c r="AA64" s="49"/>
      <c r="AB64" s="49"/>
      <c r="AC64" s="49"/>
      <c r="AD64" s="86"/>
      <c r="AE64" s="20"/>
      <c r="AF64" s="20"/>
      <c r="AG64" s="20" t="s">
        <v>161</v>
      </c>
      <c r="AH64" s="68">
        <f>5*AH61</f>
        <v>32518.457266176003</v>
      </c>
      <c r="AI64" s="121" t="s">
        <v>44</v>
      </c>
      <c r="AJ64" s="49"/>
      <c r="AK64" s="49"/>
      <c r="AL64" s="49"/>
      <c r="AM64" s="49"/>
      <c r="AN64" s="49"/>
      <c r="AO64" s="49"/>
      <c r="AP64" s="49"/>
    </row>
    <row r="65" spans="1:42" x14ac:dyDescent="0.35">
      <c r="A65" s="49"/>
      <c r="B65" s="49"/>
      <c r="C65" s="49"/>
      <c r="D65" s="49"/>
      <c r="E65" s="49"/>
      <c r="F65" s="49"/>
      <c r="G65" s="49"/>
      <c r="H65" s="49"/>
      <c r="I65" s="49"/>
      <c r="J65" s="49"/>
      <c r="K65" s="49"/>
      <c r="L65" s="49"/>
      <c r="M65" s="49"/>
      <c r="N65" s="49"/>
      <c r="O65" s="49"/>
      <c r="P65" s="49"/>
      <c r="Q65" s="49"/>
      <c r="R65" s="49"/>
      <c r="S65" s="49"/>
      <c r="T65" s="49"/>
      <c r="U65" s="49"/>
      <c r="V65" s="49"/>
      <c r="W65" s="49"/>
      <c r="X65" s="49"/>
      <c r="Y65" s="49"/>
      <c r="Z65" s="49"/>
      <c r="AA65" s="49"/>
      <c r="AB65" s="49"/>
      <c r="AC65" s="49"/>
      <c r="AD65" s="86"/>
      <c r="AE65" s="20"/>
      <c r="AF65" s="20"/>
      <c r="AG65" s="20"/>
      <c r="AH65" s="20"/>
      <c r="AI65" s="121"/>
      <c r="AJ65" s="49"/>
      <c r="AK65" s="49"/>
      <c r="AL65" s="49"/>
      <c r="AM65" s="49"/>
      <c r="AN65" s="49"/>
      <c r="AO65" s="49"/>
      <c r="AP65" s="49"/>
    </row>
    <row r="66" spans="1:42" x14ac:dyDescent="0.35">
      <c r="A66" s="49"/>
      <c r="B66" s="49"/>
      <c r="C66" s="49"/>
      <c r="D66" s="49"/>
      <c r="E66" s="49"/>
      <c r="F66" s="49"/>
      <c r="G66" s="49"/>
      <c r="H66" s="49"/>
      <c r="I66" s="49"/>
      <c r="J66" s="49"/>
      <c r="K66" s="49"/>
      <c r="L66" s="49"/>
      <c r="M66" s="49"/>
      <c r="N66" s="49"/>
      <c r="O66" s="49"/>
      <c r="P66" s="49"/>
      <c r="Q66" s="49"/>
      <c r="R66" s="49"/>
      <c r="S66" s="49"/>
      <c r="T66" s="49"/>
      <c r="U66" s="49"/>
      <c r="V66" s="49"/>
      <c r="W66" s="49"/>
      <c r="X66" s="49"/>
      <c r="Y66" s="49"/>
      <c r="Z66" s="49"/>
      <c r="AA66" s="49"/>
      <c r="AB66" s="49"/>
      <c r="AC66" s="49"/>
      <c r="AD66" s="86"/>
      <c r="AE66" s="20"/>
      <c r="AF66" s="20"/>
      <c r="AG66" s="20"/>
      <c r="AH66" s="20"/>
      <c r="AI66" s="121"/>
      <c r="AJ66" s="49"/>
      <c r="AK66" s="49"/>
      <c r="AL66" s="49"/>
      <c r="AM66" s="49"/>
      <c r="AN66" s="49"/>
      <c r="AO66" s="49"/>
      <c r="AP66" s="49"/>
    </row>
    <row r="67" spans="1:42" ht="15" thickBot="1" x14ac:dyDescent="0.4">
      <c r="A67" s="49"/>
      <c r="B67" s="49"/>
      <c r="C67" s="49"/>
      <c r="D67" s="49"/>
      <c r="E67" s="49"/>
      <c r="F67" s="49"/>
      <c r="G67" s="49"/>
      <c r="H67" s="49"/>
      <c r="I67" s="49"/>
      <c r="J67" s="49"/>
      <c r="K67" s="49"/>
      <c r="L67" s="49"/>
      <c r="M67" s="49"/>
      <c r="N67" s="49"/>
      <c r="O67" s="49"/>
      <c r="P67" s="49"/>
      <c r="Q67" s="49"/>
      <c r="R67" s="49"/>
      <c r="S67" s="49"/>
      <c r="T67" s="49"/>
      <c r="U67" s="49"/>
      <c r="V67" s="49"/>
      <c r="W67" s="49"/>
      <c r="X67" s="49"/>
      <c r="Y67" s="49"/>
      <c r="Z67" s="49"/>
      <c r="AA67" s="49"/>
      <c r="AB67" s="49"/>
      <c r="AC67" s="49"/>
      <c r="AD67" s="88"/>
      <c r="AE67" s="127"/>
      <c r="AF67" s="127"/>
      <c r="AG67" s="127"/>
      <c r="AH67" s="127"/>
      <c r="AI67" s="128"/>
      <c r="AJ67" s="49"/>
      <c r="AK67" s="49"/>
      <c r="AL67" s="49"/>
      <c r="AM67" s="49"/>
      <c r="AN67" s="49"/>
      <c r="AO67" s="49"/>
      <c r="AP67" s="49"/>
    </row>
    <row r="68" spans="1:42" x14ac:dyDescent="0.35">
      <c r="A68" s="49"/>
      <c r="B68" s="49"/>
      <c r="C68" s="49"/>
      <c r="D68" s="49"/>
      <c r="E68" s="49"/>
      <c r="F68" s="49"/>
      <c r="G68" s="49"/>
      <c r="H68" s="49"/>
      <c r="I68" s="49"/>
      <c r="J68" s="49"/>
      <c r="K68" s="49"/>
      <c r="L68" s="49"/>
      <c r="M68" s="49"/>
      <c r="N68" s="49"/>
      <c r="O68" s="49"/>
      <c r="P68" s="49"/>
      <c r="Q68" s="49"/>
      <c r="R68" s="49"/>
      <c r="S68" s="49"/>
      <c r="T68" s="49"/>
      <c r="U68" s="49"/>
      <c r="V68" s="49"/>
      <c r="W68" s="49"/>
      <c r="X68" s="49"/>
      <c r="Y68" s="49"/>
      <c r="Z68" s="49"/>
      <c r="AA68" s="49"/>
      <c r="AB68" s="49"/>
      <c r="AC68" s="49"/>
      <c r="AD68" s="49"/>
      <c r="AE68" s="49"/>
      <c r="AF68" s="49"/>
      <c r="AG68" s="49"/>
      <c r="AH68" s="49"/>
      <c r="AI68" s="49"/>
      <c r="AJ68" s="49"/>
      <c r="AK68" s="49"/>
      <c r="AL68" s="49"/>
      <c r="AM68" s="49"/>
      <c r="AN68" s="49"/>
      <c r="AO68" s="49"/>
      <c r="AP68" s="49"/>
    </row>
    <row r="69" spans="1:42" x14ac:dyDescent="0.35">
      <c r="A69" s="49"/>
      <c r="B69" s="49"/>
      <c r="C69" s="49"/>
      <c r="D69" s="49"/>
      <c r="E69" s="49"/>
      <c r="F69" s="49"/>
      <c r="G69" s="49"/>
      <c r="H69" s="49"/>
      <c r="I69" s="49"/>
      <c r="J69" s="49"/>
      <c r="K69" s="49"/>
      <c r="L69" s="49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49"/>
      <c r="Y69" s="49"/>
      <c r="Z69" s="49"/>
      <c r="AA69" s="49"/>
      <c r="AB69" s="49"/>
      <c r="AC69" s="49"/>
      <c r="AD69" s="49"/>
      <c r="AE69" s="49"/>
      <c r="AF69" s="49"/>
      <c r="AG69" s="49"/>
      <c r="AH69" s="49"/>
      <c r="AI69" s="49"/>
      <c r="AJ69" s="49"/>
      <c r="AK69" s="49"/>
      <c r="AL69" s="49"/>
      <c r="AM69" s="49"/>
      <c r="AN69" s="49"/>
      <c r="AO69" s="49"/>
      <c r="AP69" s="49"/>
    </row>
    <row r="70" spans="1:42" x14ac:dyDescent="0.35">
      <c r="A70" s="49"/>
      <c r="B70" s="49"/>
      <c r="C70" s="49"/>
      <c r="D70" s="49"/>
      <c r="E70" s="49"/>
      <c r="F70" s="49"/>
      <c r="G70" s="49"/>
      <c r="H70" s="49"/>
      <c r="I70" s="49"/>
      <c r="J70" s="49"/>
      <c r="K70" s="49"/>
      <c r="L70" s="49"/>
      <c r="M70" s="49"/>
      <c r="N70" s="49"/>
      <c r="O70" s="49"/>
      <c r="P70" s="49"/>
      <c r="Q70" s="49"/>
      <c r="R70" s="49"/>
      <c r="S70" s="49"/>
      <c r="T70" s="49"/>
      <c r="U70" s="49"/>
      <c r="V70" s="49"/>
      <c r="W70" s="49"/>
      <c r="X70" s="49"/>
      <c r="Y70" s="49"/>
      <c r="Z70" s="49"/>
      <c r="AA70" s="49"/>
      <c r="AB70" s="49"/>
      <c r="AC70" s="49"/>
      <c r="AD70" s="49"/>
      <c r="AE70" s="49"/>
      <c r="AF70" s="49"/>
      <c r="AG70" s="49"/>
      <c r="AH70" s="49"/>
      <c r="AI70" s="49"/>
      <c r="AJ70" s="49"/>
      <c r="AK70" s="49"/>
      <c r="AL70" s="49"/>
      <c r="AM70" s="49"/>
      <c r="AN70" s="49"/>
      <c r="AO70" s="49"/>
      <c r="AP70" s="49"/>
    </row>
    <row r="71" spans="1:42" x14ac:dyDescent="0.35">
      <c r="A71" s="49"/>
      <c r="B71" s="49"/>
      <c r="C71" s="49"/>
      <c r="D71" s="49"/>
      <c r="E71" s="49"/>
      <c r="F71" s="49"/>
      <c r="G71" s="49"/>
      <c r="H71" s="49"/>
      <c r="I71" s="49"/>
      <c r="J71" s="49"/>
      <c r="K71" s="49"/>
      <c r="L71" s="49"/>
      <c r="M71" s="49"/>
      <c r="N71" s="49"/>
      <c r="O71" s="49"/>
      <c r="P71" s="49"/>
      <c r="Q71" s="49"/>
      <c r="R71" s="49"/>
      <c r="S71" s="49"/>
      <c r="T71" s="49"/>
      <c r="U71" s="49"/>
      <c r="V71" s="49"/>
      <c r="W71" s="49"/>
      <c r="X71" s="49"/>
      <c r="Y71" s="49"/>
      <c r="Z71" s="49"/>
      <c r="AA71" s="49"/>
      <c r="AB71" s="49"/>
      <c r="AC71" s="49"/>
      <c r="AD71" s="49"/>
      <c r="AE71" s="49"/>
      <c r="AF71" s="49"/>
      <c r="AG71" s="49"/>
      <c r="AH71" s="49"/>
      <c r="AI71" s="49"/>
      <c r="AJ71" s="49"/>
      <c r="AK71" s="49"/>
      <c r="AL71" s="49"/>
      <c r="AM71" s="49"/>
      <c r="AN71" s="49"/>
      <c r="AO71" s="49"/>
      <c r="AP71" s="49"/>
    </row>
    <row r="72" spans="1:42" x14ac:dyDescent="0.35">
      <c r="A72" s="49"/>
      <c r="B72" s="49"/>
      <c r="C72" s="49"/>
      <c r="D72" s="49"/>
      <c r="E72" s="49"/>
      <c r="F72" s="49"/>
      <c r="G72" s="49"/>
      <c r="H72" s="49"/>
      <c r="I72" s="49"/>
      <c r="J72" s="49"/>
      <c r="K72" s="49"/>
      <c r="L72" s="49"/>
      <c r="M72" s="49"/>
      <c r="N72" s="49"/>
      <c r="O72" s="49"/>
      <c r="P72" s="49"/>
      <c r="Q72" s="49"/>
      <c r="R72" s="49"/>
      <c r="S72" s="49"/>
      <c r="T72" s="49"/>
      <c r="U72" s="49"/>
      <c r="V72" s="49"/>
      <c r="W72" s="49"/>
      <c r="X72" s="49"/>
      <c r="Y72" s="49"/>
      <c r="Z72" s="49"/>
      <c r="AA72" s="49"/>
      <c r="AB72" s="49"/>
      <c r="AC72" s="49"/>
      <c r="AD72" s="49"/>
      <c r="AE72" s="49"/>
      <c r="AF72" s="49"/>
      <c r="AG72" s="49"/>
      <c r="AH72" s="49"/>
      <c r="AI72" s="49"/>
      <c r="AJ72" s="49"/>
      <c r="AK72" s="49"/>
      <c r="AL72" s="49"/>
      <c r="AM72" s="49"/>
      <c r="AN72" s="49"/>
      <c r="AO72" s="49"/>
      <c r="AP72" s="49"/>
    </row>
    <row r="73" spans="1:42" x14ac:dyDescent="0.35">
      <c r="A73" s="49"/>
      <c r="B73" s="49"/>
      <c r="C73" s="49"/>
      <c r="D73" s="49"/>
      <c r="E73" s="49"/>
      <c r="F73" s="49"/>
      <c r="G73" s="49"/>
      <c r="H73" s="49"/>
      <c r="I73" s="49"/>
      <c r="J73" s="49"/>
      <c r="K73" s="49"/>
      <c r="L73" s="49"/>
      <c r="M73" s="49"/>
      <c r="N73" s="49"/>
      <c r="O73" s="49"/>
      <c r="P73" s="49"/>
      <c r="Q73" s="49"/>
      <c r="R73" s="49"/>
      <c r="S73" s="49"/>
      <c r="T73" s="49"/>
      <c r="U73" s="49"/>
      <c r="V73" s="49"/>
      <c r="W73" s="49"/>
      <c r="X73" s="49"/>
      <c r="Y73" s="49"/>
      <c r="Z73" s="49"/>
      <c r="AA73" s="49"/>
      <c r="AB73" s="49"/>
      <c r="AC73" s="49"/>
      <c r="AD73" s="49"/>
      <c r="AE73" s="49"/>
      <c r="AF73" s="49"/>
      <c r="AG73" s="49"/>
      <c r="AH73" s="49"/>
      <c r="AI73" s="49"/>
      <c r="AJ73" s="49"/>
      <c r="AK73" s="49"/>
      <c r="AL73" s="49"/>
      <c r="AM73" s="49"/>
      <c r="AN73" s="49"/>
      <c r="AO73" s="49"/>
      <c r="AP73" s="49"/>
    </row>
    <row r="74" spans="1:42" x14ac:dyDescent="0.35">
      <c r="A74" s="49"/>
      <c r="B74" s="49"/>
      <c r="C74" s="49"/>
      <c r="D74" s="49"/>
      <c r="E74" s="49"/>
      <c r="F74" s="49"/>
      <c r="G74" s="49"/>
      <c r="H74" s="49"/>
      <c r="I74" s="49"/>
      <c r="J74" s="49"/>
      <c r="K74" s="49"/>
      <c r="L74" s="49"/>
      <c r="M74" s="49"/>
      <c r="N74" s="49"/>
      <c r="O74" s="49"/>
      <c r="P74" s="49"/>
      <c r="Q74" s="49"/>
      <c r="R74" s="49"/>
      <c r="S74" s="49"/>
      <c r="T74" s="49"/>
      <c r="U74" s="49"/>
      <c r="V74" s="49"/>
      <c r="W74" s="49"/>
      <c r="X74" s="49"/>
      <c r="Y74" s="49"/>
      <c r="Z74" s="49"/>
      <c r="AA74" s="49"/>
      <c r="AB74" s="49"/>
      <c r="AC74" s="49"/>
      <c r="AD74" s="49"/>
      <c r="AE74" s="49"/>
      <c r="AF74" s="49"/>
      <c r="AG74" s="49"/>
      <c r="AH74" s="49"/>
      <c r="AI74" s="49"/>
      <c r="AJ74" s="49"/>
      <c r="AK74" s="49"/>
      <c r="AL74" s="49"/>
      <c r="AM74" s="49"/>
      <c r="AN74" s="49"/>
      <c r="AO74" s="49"/>
      <c r="AP74" s="49"/>
    </row>
    <row r="75" spans="1:42" x14ac:dyDescent="0.35">
      <c r="A75" s="49"/>
      <c r="B75" s="49"/>
      <c r="C75" s="49"/>
      <c r="D75" s="49"/>
      <c r="E75" s="49"/>
      <c r="F75" s="49"/>
      <c r="G75" s="49"/>
      <c r="H75" s="49"/>
      <c r="I75" s="49"/>
      <c r="J75" s="49"/>
      <c r="K75" s="49"/>
      <c r="L75" s="49"/>
      <c r="M75" s="49"/>
      <c r="N75" s="49"/>
      <c r="O75" s="49"/>
      <c r="P75" s="49"/>
      <c r="Q75" s="49"/>
      <c r="R75" s="49"/>
      <c r="S75" s="49"/>
      <c r="T75" s="49"/>
      <c r="U75" s="49"/>
      <c r="V75" s="49"/>
      <c r="W75" s="49"/>
      <c r="X75" s="49"/>
      <c r="Y75" s="49"/>
      <c r="Z75" s="49"/>
      <c r="AA75" s="49"/>
      <c r="AB75" s="49"/>
      <c r="AC75" s="49"/>
      <c r="AD75" s="49"/>
      <c r="AE75" s="49"/>
      <c r="AF75" s="49"/>
      <c r="AG75" s="49"/>
      <c r="AH75" s="49"/>
      <c r="AI75" s="49"/>
      <c r="AJ75" s="49"/>
      <c r="AK75" s="49"/>
      <c r="AL75" s="49"/>
      <c r="AM75" s="49"/>
      <c r="AN75" s="49"/>
      <c r="AO75" s="49"/>
      <c r="AP75" s="49"/>
    </row>
    <row r="76" spans="1:42" x14ac:dyDescent="0.35">
      <c r="A76" s="49"/>
      <c r="B76" s="49"/>
      <c r="C76" s="49"/>
      <c r="D76" s="49"/>
      <c r="E76" s="49"/>
      <c r="F76" s="49"/>
      <c r="G76" s="49"/>
      <c r="H76" s="49"/>
      <c r="I76" s="49"/>
      <c r="J76" s="49"/>
      <c r="K76" s="49"/>
      <c r="L76" s="49"/>
      <c r="M76" s="49"/>
      <c r="N76" s="49"/>
      <c r="O76" s="49"/>
      <c r="P76" s="49"/>
      <c r="Q76" s="49"/>
      <c r="R76" s="49"/>
      <c r="S76" s="49"/>
      <c r="T76" s="49"/>
      <c r="U76" s="49"/>
      <c r="V76" s="49"/>
      <c r="W76" s="49"/>
      <c r="X76" s="49"/>
      <c r="Y76" s="49"/>
      <c r="Z76" s="49"/>
      <c r="AA76" s="49"/>
      <c r="AB76" s="49"/>
      <c r="AC76" s="49"/>
      <c r="AD76" s="49"/>
      <c r="AE76" s="49"/>
      <c r="AF76" s="49"/>
      <c r="AG76" s="49"/>
      <c r="AH76" s="49"/>
      <c r="AI76" s="49"/>
      <c r="AJ76" s="49"/>
      <c r="AK76" s="49"/>
      <c r="AL76" s="49"/>
      <c r="AM76" s="49"/>
      <c r="AN76" s="49"/>
      <c r="AO76" s="49"/>
      <c r="AP76" s="49"/>
    </row>
    <row r="77" spans="1:42" x14ac:dyDescent="0.35">
      <c r="A77" s="49"/>
      <c r="B77" s="49"/>
      <c r="C77" s="49"/>
      <c r="D77" s="49"/>
      <c r="E77" s="49"/>
      <c r="F77" s="49"/>
      <c r="G77" s="49"/>
      <c r="H77" s="49"/>
      <c r="I77" s="49"/>
      <c r="J77" s="49"/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49"/>
      <c r="W77" s="49"/>
      <c r="X77" s="49"/>
      <c r="Y77" s="49"/>
      <c r="Z77" s="49"/>
      <c r="AA77" s="49"/>
      <c r="AB77" s="49"/>
      <c r="AC77" s="49"/>
      <c r="AD77" s="49"/>
      <c r="AE77" s="49"/>
      <c r="AF77" s="49"/>
      <c r="AG77" s="49"/>
      <c r="AH77" s="49"/>
      <c r="AI77" s="49"/>
      <c r="AJ77" s="49"/>
      <c r="AK77" s="49"/>
      <c r="AL77" s="49"/>
      <c r="AM77" s="49"/>
      <c r="AN77" s="49"/>
      <c r="AO77" s="49"/>
      <c r="AP77" s="49"/>
    </row>
    <row r="78" spans="1:42" x14ac:dyDescent="0.35">
      <c r="A78" s="49"/>
      <c r="B78" s="49"/>
      <c r="C78" s="49"/>
      <c r="D78" s="49"/>
      <c r="E78" s="49"/>
      <c r="F78" s="49"/>
      <c r="G78" s="49"/>
      <c r="H78" s="49"/>
      <c r="I78" s="49"/>
      <c r="J78" s="49"/>
      <c r="K78" s="49"/>
      <c r="L78" s="49"/>
      <c r="M78" s="49"/>
      <c r="N78" s="49"/>
      <c r="O78" s="49"/>
      <c r="P78" s="49"/>
      <c r="Q78" s="49"/>
      <c r="R78" s="49"/>
      <c r="S78" s="49"/>
      <c r="T78" s="49"/>
      <c r="U78" s="49"/>
      <c r="V78" s="49"/>
      <c r="W78" s="49"/>
      <c r="X78" s="49"/>
      <c r="Y78" s="49"/>
      <c r="Z78" s="49"/>
      <c r="AA78" s="49"/>
      <c r="AB78" s="49"/>
      <c r="AC78" s="49"/>
      <c r="AD78" s="49"/>
      <c r="AE78" s="49"/>
      <c r="AF78" s="49"/>
      <c r="AG78" s="49"/>
      <c r="AH78" s="49"/>
      <c r="AI78" s="49"/>
      <c r="AJ78" s="49"/>
      <c r="AK78" s="49"/>
      <c r="AL78" s="49"/>
      <c r="AM78" s="49"/>
      <c r="AN78" s="49"/>
      <c r="AO78" s="49"/>
      <c r="AP78" s="49"/>
    </row>
    <row r="79" spans="1:42" x14ac:dyDescent="0.35">
      <c r="A79" s="49"/>
      <c r="B79" s="49"/>
      <c r="C79" s="49"/>
      <c r="D79" s="49"/>
      <c r="E79" s="49"/>
      <c r="F79" s="49"/>
      <c r="G79" s="49"/>
      <c r="H79" s="49"/>
      <c r="I79" s="49"/>
      <c r="J79" s="49"/>
      <c r="K79" s="49"/>
      <c r="L79" s="49"/>
      <c r="M79" s="49"/>
      <c r="N79" s="49"/>
      <c r="O79" s="49"/>
      <c r="P79" s="49"/>
      <c r="Q79" s="49"/>
      <c r="R79" s="49"/>
      <c r="S79" s="49"/>
      <c r="T79" s="49"/>
      <c r="U79" s="49"/>
      <c r="V79" s="49"/>
      <c r="W79" s="49"/>
      <c r="X79" s="49"/>
      <c r="Y79" s="49"/>
      <c r="Z79" s="49"/>
      <c r="AA79" s="49"/>
      <c r="AB79" s="49"/>
      <c r="AC79" s="49"/>
      <c r="AD79" s="49"/>
      <c r="AE79" s="49"/>
      <c r="AF79" s="49"/>
      <c r="AG79" s="49"/>
      <c r="AH79" s="49"/>
      <c r="AI79" s="49"/>
      <c r="AJ79" s="49"/>
      <c r="AK79" s="49"/>
      <c r="AL79" s="49"/>
      <c r="AM79" s="49"/>
      <c r="AN79" s="49"/>
      <c r="AO79" s="49"/>
      <c r="AP79" s="49"/>
    </row>
    <row r="80" spans="1:42" x14ac:dyDescent="0.35">
      <c r="A80" s="49"/>
      <c r="B80" s="49"/>
      <c r="C80" s="49"/>
      <c r="D80" s="49"/>
      <c r="E80" s="49"/>
      <c r="F80" s="49"/>
      <c r="G80" s="49"/>
      <c r="H80" s="49"/>
      <c r="I80" s="49"/>
      <c r="J80" s="49"/>
      <c r="K80" s="49"/>
      <c r="L80" s="49"/>
      <c r="M80" s="49"/>
      <c r="N80" s="49"/>
      <c r="O80" s="49"/>
      <c r="P80" s="49"/>
      <c r="Q80" s="49"/>
      <c r="R80" s="49"/>
      <c r="S80" s="49"/>
      <c r="T80" s="49"/>
      <c r="U80" s="49"/>
      <c r="V80" s="49"/>
      <c r="W80" s="49"/>
      <c r="X80" s="49"/>
      <c r="Y80" s="49"/>
      <c r="Z80" s="49"/>
      <c r="AA80" s="49"/>
      <c r="AB80" s="49"/>
      <c r="AC80" s="49"/>
      <c r="AD80" s="49"/>
      <c r="AE80" s="49"/>
      <c r="AF80" s="49"/>
      <c r="AG80" s="49"/>
      <c r="AH80" s="49"/>
      <c r="AI80" s="49"/>
      <c r="AJ80" s="49"/>
      <c r="AK80" s="49"/>
      <c r="AL80" s="49"/>
      <c r="AM80" s="49"/>
      <c r="AN80" s="49"/>
      <c r="AO80" s="49"/>
      <c r="AP80" s="49"/>
    </row>
    <row r="81" spans="1:42" x14ac:dyDescent="0.35">
      <c r="A81" s="49"/>
      <c r="B81" s="49"/>
      <c r="C81" s="49"/>
      <c r="D81" s="49"/>
      <c r="E81" s="49"/>
      <c r="F81" s="49"/>
      <c r="G81" s="49"/>
      <c r="H81" s="49"/>
      <c r="I81" s="49"/>
      <c r="J81" s="49"/>
      <c r="K81" s="49"/>
      <c r="L81" s="49"/>
      <c r="M81" s="49"/>
      <c r="N81" s="49"/>
      <c r="O81" s="49"/>
      <c r="P81" s="49"/>
      <c r="Q81" s="49"/>
      <c r="R81" s="49"/>
      <c r="S81" s="49"/>
      <c r="T81" s="49"/>
      <c r="U81" s="49"/>
      <c r="V81" s="49"/>
      <c r="W81" s="49"/>
      <c r="X81" s="49"/>
      <c r="Y81" s="49"/>
      <c r="Z81" s="49"/>
      <c r="AA81" s="49"/>
      <c r="AB81" s="49"/>
      <c r="AC81" s="49"/>
      <c r="AD81" s="49"/>
      <c r="AE81" s="49"/>
      <c r="AF81" s="49"/>
      <c r="AG81" s="49"/>
      <c r="AH81" s="49"/>
      <c r="AI81" s="49"/>
      <c r="AJ81" s="49"/>
      <c r="AK81" s="49"/>
      <c r="AL81" s="49"/>
      <c r="AM81" s="49"/>
      <c r="AN81" s="49"/>
      <c r="AO81" s="49"/>
      <c r="AP81" s="49"/>
    </row>
    <row r="82" spans="1:42" x14ac:dyDescent="0.35">
      <c r="A82" s="49"/>
      <c r="B82" s="49"/>
      <c r="C82" s="49"/>
      <c r="D82" s="49"/>
      <c r="E82" s="49"/>
      <c r="F82" s="49"/>
      <c r="G82" s="49"/>
      <c r="H82" s="49"/>
      <c r="I82" s="49"/>
      <c r="J82" s="49"/>
      <c r="K82" s="49"/>
      <c r="L82" s="49"/>
      <c r="M82" s="49"/>
      <c r="N82" s="49"/>
      <c r="O82" s="49"/>
      <c r="P82" s="49"/>
      <c r="Q82" s="49"/>
      <c r="R82" s="49"/>
      <c r="S82" s="49"/>
      <c r="T82" s="49"/>
      <c r="U82" s="49"/>
      <c r="V82" s="49"/>
      <c r="W82" s="49"/>
      <c r="X82" s="49"/>
      <c r="Y82" s="49"/>
      <c r="Z82" s="49"/>
      <c r="AA82" s="49"/>
      <c r="AB82" s="49"/>
      <c r="AC82" s="49"/>
      <c r="AD82" s="49"/>
      <c r="AE82" s="49"/>
      <c r="AF82" s="49"/>
      <c r="AG82" s="49"/>
      <c r="AH82" s="49"/>
      <c r="AI82" s="49"/>
      <c r="AJ82" s="49"/>
      <c r="AK82" s="49"/>
      <c r="AL82" s="49"/>
      <c r="AM82" s="49"/>
      <c r="AN82" s="49"/>
      <c r="AO82" s="49"/>
      <c r="AP82" s="49"/>
    </row>
    <row r="83" spans="1:42" x14ac:dyDescent="0.35">
      <c r="A83" s="49"/>
      <c r="B83" s="49"/>
      <c r="C83" s="49"/>
      <c r="D83" s="49"/>
      <c r="E83" s="49"/>
      <c r="F83" s="49"/>
      <c r="G83" s="49"/>
      <c r="H83" s="49"/>
      <c r="I83" s="49"/>
      <c r="J83" s="49"/>
      <c r="K83" s="49"/>
      <c r="L83" s="49"/>
      <c r="M83" s="49"/>
      <c r="N83" s="49"/>
      <c r="O83" s="49"/>
      <c r="P83" s="49"/>
      <c r="Q83" s="49"/>
      <c r="R83" s="49"/>
      <c r="S83" s="49"/>
      <c r="T83" s="49"/>
      <c r="U83" s="49"/>
      <c r="V83" s="49"/>
      <c r="W83" s="49"/>
      <c r="X83" s="49"/>
      <c r="Y83" s="49"/>
      <c r="Z83" s="49"/>
      <c r="AA83" s="49"/>
      <c r="AB83" s="49"/>
      <c r="AC83" s="49"/>
      <c r="AD83" s="49"/>
      <c r="AE83" s="49"/>
      <c r="AF83" s="49"/>
      <c r="AG83" s="49"/>
      <c r="AH83" s="49"/>
      <c r="AI83" s="49"/>
      <c r="AJ83" s="49"/>
      <c r="AK83" s="49"/>
      <c r="AL83" s="49"/>
      <c r="AM83" s="49"/>
      <c r="AN83" s="49"/>
      <c r="AO83" s="49"/>
      <c r="AP83" s="49"/>
    </row>
    <row r="84" spans="1:42" x14ac:dyDescent="0.35">
      <c r="A84" s="49"/>
      <c r="B84" s="49"/>
      <c r="C84" s="49"/>
      <c r="D84" s="49"/>
      <c r="E84" s="49"/>
      <c r="F84" s="49"/>
      <c r="G84" s="49"/>
      <c r="H84" s="49"/>
      <c r="I84" s="49"/>
      <c r="J84" s="49"/>
      <c r="K84" s="49"/>
      <c r="L84" s="49"/>
      <c r="M84" s="49"/>
      <c r="N84" s="49"/>
      <c r="O84" s="49"/>
      <c r="P84" s="49"/>
      <c r="Q84" s="49"/>
      <c r="R84" s="49"/>
      <c r="S84" s="49"/>
      <c r="T84" s="49"/>
      <c r="U84" s="49"/>
      <c r="V84" s="49"/>
      <c r="W84" s="49"/>
      <c r="X84" s="49"/>
      <c r="Y84" s="49"/>
      <c r="Z84" s="49"/>
      <c r="AA84" s="49"/>
      <c r="AB84" s="49"/>
      <c r="AC84" s="49"/>
      <c r="AD84" s="49"/>
      <c r="AE84" s="49"/>
      <c r="AF84" s="49"/>
      <c r="AG84" s="49"/>
      <c r="AH84" s="49"/>
      <c r="AI84" s="49"/>
      <c r="AJ84" s="49"/>
      <c r="AK84" s="49"/>
      <c r="AL84" s="49"/>
      <c r="AM84" s="49"/>
      <c r="AN84" s="49"/>
      <c r="AO84" s="49"/>
      <c r="AP84" s="49"/>
    </row>
    <row r="85" spans="1:42" x14ac:dyDescent="0.35">
      <c r="A85" s="49"/>
      <c r="B85" s="49"/>
      <c r="C85" s="49"/>
      <c r="D85" s="49"/>
      <c r="E85" s="49"/>
      <c r="F85" s="49"/>
      <c r="G85" s="49"/>
      <c r="H85" s="49"/>
      <c r="I85" s="49"/>
      <c r="J85" s="49"/>
      <c r="K85" s="49"/>
      <c r="L85" s="49"/>
      <c r="M85" s="49"/>
      <c r="N85" s="49"/>
      <c r="O85" s="49"/>
      <c r="P85" s="49"/>
      <c r="Q85" s="49"/>
      <c r="R85" s="49"/>
      <c r="S85" s="49"/>
      <c r="T85" s="49"/>
      <c r="U85" s="49"/>
      <c r="V85" s="49"/>
      <c r="W85" s="49"/>
      <c r="X85" s="49"/>
      <c r="Y85" s="49"/>
      <c r="Z85" s="49"/>
      <c r="AA85" s="49"/>
      <c r="AB85" s="49"/>
      <c r="AC85" s="49"/>
      <c r="AD85" s="49"/>
      <c r="AE85" s="49"/>
      <c r="AF85" s="49"/>
      <c r="AG85" s="49"/>
      <c r="AH85" s="49"/>
      <c r="AI85" s="49"/>
      <c r="AJ85" s="49"/>
      <c r="AK85" s="49"/>
      <c r="AL85" s="49"/>
      <c r="AM85" s="49"/>
      <c r="AN85" s="49"/>
      <c r="AO85" s="49"/>
      <c r="AP85" s="49"/>
    </row>
    <row r="86" spans="1:42" x14ac:dyDescent="0.35">
      <c r="A86" s="49"/>
      <c r="B86" s="49"/>
      <c r="C86" s="49"/>
      <c r="D86" s="49"/>
      <c r="E86" s="49"/>
      <c r="F86" s="49"/>
      <c r="G86" s="49"/>
      <c r="H86" s="49"/>
      <c r="I86" s="49"/>
      <c r="J86" s="49"/>
      <c r="K86" s="49"/>
      <c r="L86" s="49"/>
      <c r="M86" s="49"/>
      <c r="N86" s="49"/>
      <c r="O86" s="49"/>
      <c r="P86" s="49"/>
      <c r="Q86" s="49"/>
      <c r="R86" s="49"/>
      <c r="S86" s="49"/>
      <c r="T86" s="49"/>
      <c r="U86" s="49"/>
      <c r="V86" s="49"/>
      <c r="W86" s="49"/>
      <c r="X86" s="49"/>
      <c r="Y86" s="49"/>
      <c r="Z86" s="49"/>
      <c r="AA86" s="49"/>
      <c r="AB86" s="49"/>
      <c r="AC86" s="49"/>
      <c r="AD86" s="49"/>
      <c r="AE86" s="49"/>
      <c r="AF86" s="49"/>
      <c r="AG86" s="49"/>
      <c r="AH86" s="49"/>
      <c r="AI86" s="49"/>
      <c r="AJ86" s="49"/>
      <c r="AK86" s="49"/>
      <c r="AL86" s="49"/>
      <c r="AM86" s="49"/>
      <c r="AN86" s="49"/>
      <c r="AO86" s="49"/>
      <c r="AP86" s="49"/>
    </row>
    <row r="87" spans="1:42" x14ac:dyDescent="0.35">
      <c r="A87" s="49"/>
      <c r="B87" s="49"/>
      <c r="C87" s="49"/>
      <c r="D87" s="49"/>
      <c r="E87" s="49"/>
      <c r="F87" s="49"/>
      <c r="G87" s="49"/>
      <c r="H87" s="49"/>
      <c r="I87" s="49"/>
      <c r="J87" s="49"/>
      <c r="K87" s="49"/>
      <c r="L87" s="49"/>
      <c r="M87" s="49"/>
      <c r="N87" s="49"/>
      <c r="O87" s="49"/>
      <c r="P87" s="49"/>
      <c r="Q87" s="49"/>
      <c r="R87" s="49"/>
      <c r="S87" s="49"/>
      <c r="T87" s="49"/>
      <c r="U87" s="49"/>
      <c r="V87" s="49"/>
      <c r="W87" s="49"/>
      <c r="X87" s="49"/>
      <c r="Y87" s="49"/>
      <c r="Z87" s="49"/>
      <c r="AA87" s="49"/>
      <c r="AB87" s="49"/>
      <c r="AC87" s="49"/>
      <c r="AD87" s="49"/>
      <c r="AE87" s="49"/>
      <c r="AF87" s="49"/>
      <c r="AG87" s="49"/>
      <c r="AH87" s="49"/>
      <c r="AI87" s="49"/>
      <c r="AJ87" s="49"/>
      <c r="AK87" s="49"/>
      <c r="AL87" s="49"/>
      <c r="AM87" s="49"/>
      <c r="AN87" s="49"/>
      <c r="AO87" s="49"/>
      <c r="AP87" s="49"/>
    </row>
    <row r="88" spans="1:42" x14ac:dyDescent="0.35">
      <c r="A88" s="49"/>
      <c r="B88" s="49"/>
      <c r="C88" s="49"/>
      <c r="D88" s="49"/>
      <c r="E88" s="49"/>
      <c r="F88" s="49"/>
      <c r="G88" s="49"/>
      <c r="H88" s="49"/>
      <c r="I88" s="49"/>
      <c r="J88" s="49"/>
      <c r="K88" s="49"/>
      <c r="L88" s="49"/>
      <c r="M88" s="49"/>
      <c r="N88" s="49"/>
      <c r="O88" s="49"/>
      <c r="P88" s="49"/>
      <c r="Q88" s="49"/>
      <c r="R88" s="49"/>
      <c r="S88" s="49"/>
      <c r="T88" s="49"/>
      <c r="U88" s="49"/>
      <c r="V88" s="49"/>
      <c r="W88" s="49"/>
      <c r="X88" s="49"/>
      <c r="Y88" s="49"/>
      <c r="Z88" s="49"/>
      <c r="AA88" s="49"/>
      <c r="AB88" s="49"/>
      <c r="AC88" s="49"/>
      <c r="AD88" s="49"/>
      <c r="AE88" s="49"/>
      <c r="AF88" s="49"/>
      <c r="AG88" s="49"/>
      <c r="AH88" s="49"/>
      <c r="AI88" s="49"/>
      <c r="AJ88" s="49"/>
      <c r="AK88" s="49"/>
      <c r="AL88" s="49"/>
      <c r="AM88" s="49"/>
      <c r="AN88" s="49"/>
      <c r="AO88" s="49"/>
      <c r="AP88" s="49"/>
    </row>
    <row r="89" spans="1:42" x14ac:dyDescent="0.35">
      <c r="A89" s="49"/>
      <c r="B89" s="49"/>
      <c r="C89" s="49"/>
      <c r="D89" s="49"/>
      <c r="E89" s="49"/>
      <c r="F89" s="49"/>
      <c r="G89" s="49"/>
      <c r="H89" s="49"/>
      <c r="I89" s="49"/>
      <c r="J89" s="49"/>
      <c r="K89" s="49"/>
      <c r="L89" s="49"/>
      <c r="M89" s="49"/>
      <c r="N89" s="49"/>
      <c r="O89" s="49"/>
      <c r="P89" s="49"/>
      <c r="Q89" s="49"/>
      <c r="R89" s="49"/>
      <c r="S89" s="49"/>
      <c r="T89" s="49"/>
      <c r="U89" s="49"/>
      <c r="V89" s="49"/>
      <c r="W89" s="49"/>
      <c r="X89" s="49"/>
      <c r="Y89" s="49"/>
      <c r="Z89" s="49"/>
      <c r="AA89" s="49"/>
      <c r="AB89" s="49"/>
      <c r="AC89" s="49"/>
      <c r="AD89" s="49"/>
      <c r="AE89" s="49"/>
      <c r="AF89" s="49"/>
      <c r="AG89" s="49"/>
      <c r="AH89" s="49"/>
      <c r="AI89" s="49"/>
      <c r="AJ89" s="49"/>
      <c r="AK89" s="49"/>
      <c r="AL89" s="49"/>
      <c r="AM89" s="49"/>
      <c r="AN89" s="49"/>
      <c r="AO89" s="49"/>
      <c r="AP89" s="49"/>
    </row>
    <row r="90" spans="1:42" x14ac:dyDescent="0.35">
      <c r="A90" s="49"/>
      <c r="B90" s="49"/>
      <c r="C90" s="49"/>
      <c r="D90" s="49"/>
      <c r="E90" s="49"/>
      <c r="F90" s="49"/>
      <c r="G90" s="49"/>
      <c r="H90" s="49"/>
      <c r="I90" s="49"/>
      <c r="J90" s="49"/>
      <c r="K90" s="49"/>
      <c r="L90" s="49"/>
      <c r="M90" s="49"/>
      <c r="N90" s="49"/>
      <c r="O90" s="49"/>
      <c r="P90" s="49"/>
      <c r="Q90" s="49"/>
      <c r="R90" s="49"/>
      <c r="S90" s="49"/>
      <c r="T90" s="49"/>
      <c r="U90" s="49"/>
      <c r="V90" s="49"/>
      <c r="W90" s="49"/>
      <c r="X90" s="49"/>
      <c r="Y90" s="49"/>
      <c r="Z90" s="49"/>
      <c r="AA90" s="49"/>
      <c r="AB90" s="49"/>
      <c r="AC90" s="49"/>
      <c r="AD90" s="49"/>
      <c r="AE90" s="49"/>
      <c r="AF90" s="49"/>
      <c r="AG90" s="49"/>
      <c r="AH90" s="49"/>
      <c r="AI90" s="49"/>
      <c r="AJ90" s="49"/>
      <c r="AK90" s="49"/>
      <c r="AL90" s="49"/>
      <c r="AM90" s="49"/>
      <c r="AN90" s="49"/>
      <c r="AO90" s="49"/>
      <c r="AP90" s="49"/>
    </row>
    <row r="91" spans="1:42" x14ac:dyDescent="0.35">
      <c r="A91" s="49"/>
      <c r="B91" s="49"/>
      <c r="C91" s="49"/>
      <c r="D91" s="49"/>
      <c r="E91" s="49"/>
      <c r="F91" s="49"/>
      <c r="G91" s="49"/>
      <c r="H91" s="49"/>
      <c r="I91" s="49"/>
      <c r="J91" s="49"/>
      <c r="K91" s="49"/>
      <c r="L91" s="49"/>
      <c r="M91" s="49"/>
      <c r="N91" s="49"/>
      <c r="O91" s="49"/>
      <c r="P91" s="49"/>
      <c r="Q91" s="49"/>
      <c r="R91" s="49"/>
      <c r="S91" s="49"/>
      <c r="T91" s="49"/>
      <c r="U91" s="49"/>
      <c r="V91" s="49"/>
      <c r="W91" s="49"/>
      <c r="X91" s="49"/>
      <c r="Y91" s="49"/>
      <c r="Z91" s="49"/>
      <c r="AA91" s="49"/>
      <c r="AB91" s="49"/>
      <c r="AC91" s="49"/>
      <c r="AD91" s="49"/>
      <c r="AE91" s="49"/>
      <c r="AF91" s="49"/>
      <c r="AG91" s="49"/>
      <c r="AH91" s="49"/>
      <c r="AI91" s="49"/>
      <c r="AJ91" s="49"/>
      <c r="AK91" s="49"/>
      <c r="AL91" s="49"/>
      <c r="AM91" s="49"/>
      <c r="AN91" s="49"/>
      <c r="AO91" s="49"/>
      <c r="AP91" s="49"/>
    </row>
    <row r="92" spans="1:42" x14ac:dyDescent="0.35">
      <c r="A92" s="49"/>
      <c r="B92" s="49"/>
      <c r="C92" s="49"/>
      <c r="D92" s="49"/>
      <c r="E92" s="49"/>
      <c r="F92" s="49"/>
      <c r="G92" s="49"/>
      <c r="H92" s="49"/>
      <c r="I92" s="49"/>
      <c r="J92" s="49"/>
      <c r="K92" s="49"/>
      <c r="L92" s="49"/>
      <c r="M92" s="49"/>
      <c r="N92" s="49"/>
      <c r="O92" s="49"/>
      <c r="P92" s="49"/>
      <c r="Q92" s="49"/>
      <c r="R92" s="49"/>
      <c r="S92" s="49"/>
      <c r="T92" s="49"/>
      <c r="U92" s="49"/>
      <c r="V92" s="49"/>
      <c r="W92" s="49"/>
      <c r="X92" s="49"/>
      <c r="Y92" s="49"/>
      <c r="Z92" s="49"/>
      <c r="AA92" s="49"/>
      <c r="AB92" s="49"/>
      <c r="AC92" s="49"/>
      <c r="AD92" s="49"/>
      <c r="AE92" s="49"/>
      <c r="AF92" s="49"/>
      <c r="AG92" s="49"/>
      <c r="AH92" s="49"/>
      <c r="AI92" s="49"/>
      <c r="AJ92" s="49"/>
      <c r="AK92" s="49"/>
      <c r="AL92" s="49"/>
      <c r="AM92" s="49"/>
      <c r="AN92" s="49"/>
      <c r="AO92" s="49"/>
      <c r="AP92" s="49"/>
    </row>
    <row r="93" spans="1:42" x14ac:dyDescent="0.35">
      <c r="A93" s="49"/>
      <c r="B93" s="49"/>
      <c r="C93" s="49"/>
      <c r="D93" s="49"/>
      <c r="E93" s="49"/>
      <c r="F93" s="49"/>
      <c r="G93" s="49"/>
      <c r="H93" s="49"/>
      <c r="I93" s="49"/>
      <c r="J93" s="49"/>
      <c r="K93" s="49"/>
      <c r="L93" s="49"/>
      <c r="M93" s="49"/>
      <c r="N93" s="49"/>
      <c r="O93" s="49"/>
      <c r="P93" s="49"/>
      <c r="Q93" s="49"/>
      <c r="R93" s="49"/>
      <c r="S93" s="49"/>
      <c r="T93" s="49"/>
      <c r="U93" s="49"/>
      <c r="V93" s="49"/>
      <c r="W93" s="49"/>
      <c r="X93" s="49"/>
      <c r="Y93" s="49"/>
      <c r="Z93" s="49"/>
      <c r="AA93" s="49"/>
      <c r="AB93" s="49"/>
      <c r="AC93" s="49"/>
      <c r="AD93" s="49"/>
      <c r="AE93" s="49"/>
      <c r="AF93" s="49"/>
      <c r="AG93" s="49"/>
      <c r="AH93" s="49"/>
      <c r="AI93" s="49"/>
      <c r="AJ93" s="49"/>
      <c r="AK93" s="49"/>
      <c r="AL93" s="49"/>
      <c r="AM93" s="49"/>
      <c r="AN93" s="49"/>
      <c r="AO93" s="49"/>
      <c r="AP93" s="49"/>
    </row>
    <row r="94" spans="1:42" x14ac:dyDescent="0.35">
      <c r="A94" s="49"/>
      <c r="B94" s="49"/>
      <c r="C94" s="49"/>
      <c r="D94" s="49"/>
      <c r="E94" s="49"/>
      <c r="F94" s="49"/>
      <c r="G94" s="49"/>
      <c r="H94" s="49"/>
      <c r="I94" s="49"/>
      <c r="J94" s="49"/>
      <c r="K94" s="49"/>
      <c r="L94" s="49"/>
      <c r="M94" s="49"/>
      <c r="N94" s="49"/>
      <c r="O94" s="49"/>
      <c r="P94" s="49"/>
      <c r="Q94" s="49"/>
      <c r="R94" s="49"/>
      <c r="S94" s="49"/>
      <c r="T94" s="49"/>
      <c r="U94" s="49"/>
      <c r="V94" s="49"/>
      <c r="W94" s="49"/>
      <c r="X94" s="49"/>
      <c r="Y94" s="49"/>
      <c r="Z94" s="49"/>
      <c r="AA94" s="49"/>
      <c r="AB94" s="49"/>
      <c r="AC94" s="49"/>
      <c r="AD94" s="49"/>
      <c r="AE94" s="49"/>
      <c r="AF94" s="49"/>
      <c r="AG94" s="49"/>
      <c r="AH94" s="49"/>
      <c r="AI94" s="49"/>
      <c r="AJ94" s="49"/>
      <c r="AK94" s="49"/>
      <c r="AL94" s="49"/>
      <c r="AM94" s="49"/>
      <c r="AN94" s="49"/>
      <c r="AO94" s="49"/>
      <c r="AP94" s="49"/>
    </row>
    <row r="95" spans="1:42" x14ac:dyDescent="0.35">
      <c r="A95" s="49"/>
      <c r="B95" s="49"/>
      <c r="C95" s="49"/>
      <c r="D95" s="49"/>
      <c r="E95" s="49"/>
      <c r="F95" s="49"/>
      <c r="G95" s="49"/>
      <c r="H95" s="49"/>
      <c r="I95" s="49"/>
      <c r="J95" s="49"/>
      <c r="K95" s="49"/>
      <c r="L95" s="49"/>
      <c r="M95" s="49"/>
      <c r="N95" s="49"/>
      <c r="O95" s="49"/>
      <c r="P95" s="49"/>
      <c r="Q95" s="49"/>
      <c r="R95" s="49"/>
      <c r="S95" s="49"/>
      <c r="T95" s="49"/>
      <c r="U95" s="49"/>
      <c r="V95" s="49"/>
      <c r="W95" s="49"/>
      <c r="X95" s="49"/>
      <c r="Y95" s="49"/>
      <c r="Z95" s="49"/>
      <c r="AA95" s="49"/>
      <c r="AB95" s="49"/>
      <c r="AC95" s="49"/>
      <c r="AD95" s="49"/>
      <c r="AE95" s="49"/>
      <c r="AF95" s="49"/>
      <c r="AG95" s="49"/>
      <c r="AH95" s="49"/>
      <c r="AI95" s="49"/>
      <c r="AJ95" s="49"/>
      <c r="AK95" s="49"/>
      <c r="AL95" s="49"/>
      <c r="AM95" s="49"/>
      <c r="AN95" s="49"/>
      <c r="AO95" s="49"/>
      <c r="AP95" s="49"/>
    </row>
    <row r="96" spans="1:42" x14ac:dyDescent="0.35">
      <c r="A96" s="49"/>
      <c r="B96" s="49"/>
      <c r="C96" s="49"/>
      <c r="D96" s="49"/>
      <c r="E96" s="49"/>
      <c r="F96" s="49"/>
      <c r="G96" s="49"/>
      <c r="H96" s="49"/>
      <c r="I96" s="49"/>
      <c r="J96" s="49"/>
      <c r="K96" s="49"/>
      <c r="L96" s="49"/>
      <c r="M96" s="49"/>
      <c r="N96" s="49"/>
      <c r="O96" s="49"/>
      <c r="P96" s="49"/>
      <c r="Q96" s="49"/>
      <c r="R96" s="49"/>
      <c r="S96" s="49"/>
      <c r="T96" s="49"/>
      <c r="U96" s="49"/>
      <c r="V96" s="49"/>
      <c r="W96" s="49"/>
      <c r="X96" s="49"/>
      <c r="Y96" s="49"/>
      <c r="Z96" s="49"/>
      <c r="AA96" s="49"/>
      <c r="AB96" s="49"/>
      <c r="AC96" s="49"/>
      <c r="AD96" s="49"/>
      <c r="AE96" s="49"/>
      <c r="AF96" s="49"/>
      <c r="AG96" s="49"/>
      <c r="AH96" s="49"/>
      <c r="AI96" s="49"/>
      <c r="AJ96" s="49"/>
      <c r="AK96" s="49"/>
      <c r="AL96" s="49"/>
      <c r="AM96" s="49"/>
      <c r="AN96" s="49"/>
      <c r="AO96" s="49"/>
      <c r="AP96" s="49"/>
    </row>
    <row r="97" spans="1:42" x14ac:dyDescent="0.35">
      <c r="A97" s="49"/>
      <c r="B97" s="49"/>
      <c r="C97" s="49"/>
      <c r="D97" s="49"/>
      <c r="E97" s="49"/>
      <c r="F97" s="49"/>
      <c r="G97" s="49"/>
      <c r="H97" s="49"/>
      <c r="I97" s="49"/>
      <c r="J97" s="49"/>
      <c r="K97" s="49"/>
      <c r="L97" s="49"/>
      <c r="M97" s="49"/>
      <c r="N97" s="49"/>
      <c r="O97" s="49"/>
      <c r="P97" s="49"/>
      <c r="Q97" s="49"/>
      <c r="R97" s="49"/>
      <c r="S97" s="49"/>
      <c r="T97" s="49"/>
      <c r="U97" s="49"/>
      <c r="V97" s="49"/>
      <c r="W97" s="49"/>
      <c r="X97" s="49"/>
      <c r="Y97" s="49"/>
      <c r="Z97" s="49"/>
      <c r="AA97" s="49"/>
      <c r="AB97" s="49"/>
      <c r="AC97" s="49"/>
      <c r="AD97" s="49"/>
      <c r="AE97" s="49"/>
      <c r="AF97" s="49"/>
      <c r="AG97" s="49"/>
      <c r="AH97" s="49"/>
      <c r="AI97" s="49"/>
      <c r="AJ97" s="49"/>
      <c r="AK97" s="49"/>
      <c r="AL97" s="49"/>
      <c r="AM97" s="49"/>
      <c r="AN97" s="49"/>
      <c r="AO97" s="49"/>
      <c r="AP97" s="49"/>
    </row>
    <row r="98" spans="1:42" x14ac:dyDescent="0.35">
      <c r="A98" s="49"/>
      <c r="B98" s="49"/>
      <c r="C98" s="49"/>
      <c r="D98" s="49"/>
      <c r="E98" s="49"/>
      <c r="F98" s="49"/>
      <c r="G98" s="49"/>
      <c r="H98" s="49"/>
      <c r="I98" s="49"/>
      <c r="J98" s="49"/>
      <c r="K98" s="49"/>
      <c r="L98" s="49"/>
      <c r="M98" s="49"/>
      <c r="N98" s="49"/>
      <c r="O98" s="49"/>
      <c r="P98" s="49"/>
      <c r="Q98" s="49"/>
      <c r="R98" s="49"/>
      <c r="S98" s="49"/>
      <c r="T98" s="49"/>
      <c r="U98" s="49"/>
      <c r="V98" s="49"/>
      <c r="W98" s="49"/>
      <c r="X98" s="49"/>
      <c r="Y98" s="49"/>
      <c r="Z98" s="49"/>
      <c r="AA98" s="49"/>
      <c r="AB98" s="49"/>
      <c r="AC98" s="49"/>
      <c r="AD98" s="49"/>
      <c r="AE98" s="49"/>
      <c r="AF98" s="49"/>
      <c r="AG98" s="49"/>
      <c r="AH98" s="49"/>
      <c r="AI98" s="49"/>
      <c r="AJ98" s="49"/>
      <c r="AK98" s="49"/>
      <c r="AL98" s="49"/>
      <c r="AM98" s="49"/>
      <c r="AN98" s="49"/>
      <c r="AO98" s="49"/>
      <c r="AP98" s="49"/>
    </row>
    <row r="99" spans="1:42" x14ac:dyDescent="0.35">
      <c r="A99" s="49"/>
      <c r="B99" s="49"/>
      <c r="C99" s="49"/>
      <c r="D99" s="49"/>
      <c r="E99" s="49"/>
      <c r="F99" s="49"/>
      <c r="G99" s="49"/>
      <c r="H99" s="49"/>
      <c r="I99" s="49"/>
      <c r="J99" s="49"/>
      <c r="K99" s="49"/>
      <c r="L99" s="49"/>
      <c r="M99" s="49"/>
      <c r="N99" s="49"/>
      <c r="O99" s="49"/>
      <c r="P99" s="49"/>
      <c r="Q99" s="49"/>
      <c r="R99" s="49"/>
      <c r="S99" s="49"/>
      <c r="T99" s="49"/>
      <c r="U99" s="49"/>
      <c r="V99" s="49"/>
      <c r="W99" s="49"/>
      <c r="X99" s="49"/>
      <c r="Y99" s="49"/>
      <c r="Z99" s="49"/>
      <c r="AA99" s="49"/>
      <c r="AB99" s="49"/>
      <c r="AC99" s="49"/>
      <c r="AD99" s="49"/>
      <c r="AE99" s="49"/>
      <c r="AF99" s="49"/>
      <c r="AG99" s="49"/>
      <c r="AH99" s="49"/>
      <c r="AI99" s="49"/>
      <c r="AJ99" s="49"/>
      <c r="AK99" s="49"/>
      <c r="AL99" s="49"/>
      <c r="AM99" s="49"/>
      <c r="AN99" s="49"/>
      <c r="AO99" s="49"/>
      <c r="AP99" s="49"/>
    </row>
    <row r="100" spans="1:42" x14ac:dyDescent="0.35">
      <c r="A100" s="49"/>
      <c r="B100" s="49"/>
      <c r="C100" s="49"/>
      <c r="D100" s="49"/>
      <c r="E100" s="49"/>
      <c r="F100" s="49"/>
      <c r="G100" s="49"/>
      <c r="H100" s="49"/>
      <c r="I100" s="49"/>
      <c r="J100" s="49"/>
      <c r="K100" s="49"/>
      <c r="L100" s="49"/>
      <c r="M100" s="49"/>
      <c r="N100" s="49"/>
      <c r="O100" s="49"/>
      <c r="P100" s="49"/>
      <c r="Q100" s="49"/>
      <c r="R100" s="49"/>
      <c r="S100" s="49"/>
      <c r="T100" s="49"/>
      <c r="U100" s="49"/>
      <c r="V100" s="49"/>
      <c r="W100" s="49"/>
      <c r="X100" s="49"/>
      <c r="Y100" s="49"/>
      <c r="Z100" s="49"/>
      <c r="AA100" s="49"/>
      <c r="AB100" s="49"/>
      <c r="AC100" s="49"/>
      <c r="AD100" s="49"/>
      <c r="AE100" s="49"/>
      <c r="AF100" s="49"/>
      <c r="AG100" s="49"/>
      <c r="AH100" s="49"/>
      <c r="AI100" s="49"/>
      <c r="AJ100" s="49"/>
      <c r="AK100" s="49"/>
      <c r="AL100" s="49"/>
      <c r="AM100" s="49"/>
      <c r="AN100" s="49"/>
      <c r="AO100" s="49"/>
      <c r="AP100" s="49"/>
    </row>
    <row r="101" spans="1:42" x14ac:dyDescent="0.35">
      <c r="A101" s="49"/>
      <c r="B101" s="49"/>
      <c r="C101" s="49"/>
      <c r="D101" s="49"/>
      <c r="E101" s="49"/>
      <c r="F101" s="49"/>
      <c r="G101" s="49"/>
      <c r="H101" s="49"/>
      <c r="I101" s="49"/>
      <c r="J101" s="49"/>
      <c r="K101" s="49"/>
      <c r="L101" s="49"/>
      <c r="M101" s="49"/>
      <c r="N101" s="49"/>
      <c r="O101" s="49"/>
      <c r="P101" s="49"/>
      <c r="Q101" s="49"/>
      <c r="R101" s="49"/>
      <c r="S101" s="49"/>
      <c r="T101" s="49"/>
      <c r="U101" s="49"/>
      <c r="V101" s="49"/>
      <c r="W101" s="49"/>
      <c r="X101" s="49"/>
      <c r="Y101" s="49"/>
      <c r="Z101" s="49"/>
      <c r="AA101" s="49"/>
      <c r="AB101" s="49"/>
      <c r="AC101" s="49"/>
      <c r="AD101" s="49"/>
      <c r="AE101" s="49"/>
      <c r="AF101" s="49"/>
      <c r="AG101" s="49"/>
      <c r="AH101" s="49"/>
      <c r="AI101" s="49"/>
      <c r="AJ101" s="49"/>
      <c r="AK101" s="49"/>
      <c r="AL101" s="49"/>
      <c r="AM101" s="49"/>
      <c r="AN101" s="49"/>
      <c r="AO101" s="49"/>
      <c r="AP101" s="49"/>
    </row>
    <row r="102" spans="1:42" x14ac:dyDescent="0.35">
      <c r="A102" s="49"/>
      <c r="B102" s="49"/>
      <c r="C102" s="49"/>
      <c r="D102" s="49"/>
      <c r="E102" s="49"/>
      <c r="F102" s="49"/>
      <c r="G102" s="49"/>
      <c r="H102" s="49"/>
      <c r="I102" s="49"/>
      <c r="J102" s="49"/>
      <c r="K102" s="49"/>
      <c r="L102" s="49"/>
      <c r="M102" s="49"/>
      <c r="N102" s="49"/>
      <c r="O102" s="49"/>
      <c r="P102" s="49"/>
      <c r="Q102" s="49"/>
      <c r="R102" s="49"/>
      <c r="S102" s="49"/>
      <c r="T102" s="49"/>
      <c r="U102" s="49"/>
      <c r="V102" s="49"/>
      <c r="W102" s="49"/>
      <c r="X102" s="49"/>
      <c r="Y102" s="49"/>
      <c r="Z102" s="49"/>
      <c r="AA102" s="49"/>
      <c r="AB102" s="49"/>
      <c r="AC102" s="49"/>
      <c r="AD102" s="49"/>
      <c r="AE102" s="49"/>
      <c r="AF102" s="49"/>
      <c r="AG102" s="49"/>
      <c r="AH102" s="49"/>
      <c r="AI102" s="49"/>
      <c r="AJ102" s="49"/>
      <c r="AK102" s="49"/>
      <c r="AL102" s="49"/>
      <c r="AM102" s="49"/>
      <c r="AN102" s="49"/>
      <c r="AO102" s="49"/>
      <c r="AP102" s="49"/>
    </row>
    <row r="103" spans="1:42" x14ac:dyDescent="0.35">
      <c r="A103" s="49"/>
      <c r="B103" s="49"/>
      <c r="C103" s="49"/>
      <c r="D103" s="49"/>
      <c r="E103" s="49"/>
      <c r="F103" s="49"/>
      <c r="G103" s="49"/>
      <c r="H103" s="49"/>
      <c r="I103" s="49"/>
      <c r="J103" s="49"/>
      <c r="K103" s="49"/>
      <c r="L103" s="49"/>
      <c r="M103" s="49"/>
      <c r="N103" s="49"/>
      <c r="O103" s="49"/>
      <c r="P103" s="49"/>
      <c r="Q103" s="49"/>
      <c r="R103" s="49"/>
      <c r="S103" s="49"/>
      <c r="T103" s="49"/>
      <c r="U103" s="49"/>
      <c r="V103" s="49"/>
      <c r="W103" s="49"/>
      <c r="X103" s="49"/>
      <c r="Y103" s="49"/>
      <c r="Z103" s="49"/>
      <c r="AA103" s="49"/>
      <c r="AB103" s="49"/>
      <c r="AC103" s="49"/>
      <c r="AD103" s="49"/>
      <c r="AE103" s="49"/>
      <c r="AF103" s="49"/>
      <c r="AG103" s="49"/>
      <c r="AH103" s="49"/>
      <c r="AI103" s="49"/>
      <c r="AJ103" s="49"/>
      <c r="AK103" s="49"/>
      <c r="AL103" s="49"/>
      <c r="AM103" s="49"/>
      <c r="AN103" s="49"/>
      <c r="AO103" s="49"/>
      <c r="AP103" s="49"/>
    </row>
    <row r="104" spans="1:42" x14ac:dyDescent="0.35">
      <c r="A104" s="49"/>
      <c r="B104" s="49"/>
      <c r="C104" s="49"/>
      <c r="D104" s="49"/>
      <c r="E104" s="49"/>
      <c r="F104" s="49"/>
      <c r="G104" s="49"/>
      <c r="H104" s="49"/>
      <c r="I104" s="49"/>
      <c r="J104" s="49"/>
      <c r="K104" s="49"/>
      <c r="L104" s="49"/>
      <c r="M104" s="49"/>
      <c r="N104" s="49"/>
      <c r="O104" s="49"/>
      <c r="P104" s="49"/>
      <c r="Q104" s="49"/>
      <c r="R104" s="49"/>
      <c r="S104" s="49"/>
      <c r="T104" s="49"/>
      <c r="U104" s="49"/>
      <c r="V104" s="49"/>
      <c r="W104" s="49"/>
      <c r="X104" s="49"/>
      <c r="Y104" s="49"/>
      <c r="Z104" s="49"/>
      <c r="AA104" s="49"/>
      <c r="AB104" s="49"/>
      <c r="AC104" s="49"/>
      <c r="AD104" s="49"/>
      <c r="AE104" s="49"/>
      <c r="AF104" s="49"/>
      <c r="AG104" s="49"/>
      <c r="AH104" s="49"/>
      <c r="AI104" s="49"/>
      <c r="AJ104" s="49"/>
      <c r="AK104" s="49"/>
      <c r="AL104" s="49"/>
      <c r="AM104" s="49"/>
      <c r="AN104" s="49"/>
      <c r="AO104" s="49"/>
      <c r="AP104" s="49"/>
    </row>
    <row r="105" spans="1:42" x14ac:dyDescent="0.35">
      <c r="A105" s="49"/>
      <c r="B105" s="49"/>
      <c r="C105" s="49"/>
      <c r="D105" s="49"/>
      <c r="E105" s="49"/>
      <c r="F105" s="49"/>
      <c r="G105" s="49"/>
      <c r="H105" s="49"/>
      <c r="I105" s="49"/>
      <c r="J105" s="49"/>
      <c r="K105" s="49"/>
      <c r="L105" s="49"/>
      <c r="M105" s="49"/>
      <c r="N105" s="49"/>
      <c r="O105" s="49"/>
      <c r="P105" s="49"/>
      <c r="Q105" s="49"/>
      <c r="R105" s="49"/>
      <c r="S105" s="49"/>
      <c r="T105" s="49"/>
      <c r="U105" s="49"/>
      <c r="V105" s="49"/>
      <c r="W105" s="49"/>
      <c r="X105" s="49"/>
      <c r="Y105" s="49"/>
      <c r="Z105" s="49"/>
      <c r="AA105" s="49"/>
      <c r="AB105" s="49"/>
      <c r="AC105" s="49"/>
      <c r="AD105" s="49"/>
      <c r="AE105" s="49"/>
      <c r="AF105" s="49"/>
      <c r="AG105" s="49"/>
      <c r="AH105" s="49"/>
      <c r="AI105" s="49"/>
      <c r="AJ105" s="49"/>
      <c r="AK105" s="49"/>
      <c r="AL105" s="49"/>
      <c r="AM105" s="49"/>
      <c r="AN105" s="49"/>
      <c r="AO105" s="49"/>
      <c r="AP105" s="49"/>
    </row>
    <row r="106" spans="1:42" x14ac:dyDescent="0.35">
      <c r="A106" s="49"/>
      <c r="B106" s="49"/>
      <c r="C106" s="49"/>
      <c r="D106" s="49"/>
      <c r="E106" s="49"/>
      <c r="F106" s="49"/>
      <c r="G106" s="49"/>
      <c r="H106" s="49"/>
      <c r="I106" s="49"/>
      <c r="J106" s="49"/>
      <c r="K106" s="49"/>
      <c r="L106" s="49"/>
      <c r="M106" s="49"/>
      <c r="N106" s="49"/>
      <c r="O106" s="49"/>
      <c r="P106" s="49"/>
      <c r="Q106" s="49"/>
      <c r="R106" s="49"/>
      <c r="S106" s="49"/>
      <c r="T106" s="49"/>
      <c r="U106" s="49"/>
      <c r="V106" s="49"/>
      <c r="W106" s="49"/>
      <c r="X106" s="49"/>
      <c r="Y106" s="49"/>
      <c r="Z106" s="49"/>
      <c r="AA106" s="49"/>
      <c r="AB106" s="49"/>
      <c r="AC106" s="49"/>
      <c r="AD106" s="49"/>
      <c r="AE106" s="49"/>
      <c r="AF106" s="49"/>
      <c r="AG106" s="49"/>
      <c r="AH106" s="49"/>
      <c r="AI106" s="49"/>
      <c r="AJ106" s="49"/>
      <c r="AK106" s="49"/>
      <c r="AL106" s="49"/>
      <c r="AM106" s="49"/>
      <c r="AN106" s="49"/>
      <c r="AO106" s="49"/>
      <c r="AP106" s="49"/>
    </row>
    <row r="107" spans="1:42" x14ac:dyDescent="0.35">
      <c r="A107" s="49"/>
      <c r="B107" s="49"/>
      <c r="C107" s="49"/>
      <c r="D107" s="49"/>
      <c r="E107" s="49"/>
      <c r="F107" s="49"/>
      <c r="G107" s="49"/>
      <c r="H107" s="49"/>
      <c r="I107" s="49"/>
      <c r="J107" s="49"/>
      <c r="K107" s="49"/>
      <c r="L107" s="49"/>
      <c r="M107" s="49"/>
      <c r="N107" s="49"/>
      <c r="O107" s="49"/>
      <c r="P107" s="49"/>
      <c r="Q107" s="49"/>
      <c r="R107" s="49"/>
      <c r="S107" s="49"/>
      <c r="T107" s="49"/>
      <c r="U107" s="49"/>
      <c r="V107" s="49"/>
      <c r="W107" s="49"/>
      <c r="X107" s="49"/>
      <c r="Y107" s="49"/>
      <c r="Z107" s="49"/>
      <c r="AA107" s="49"/>
      <c r="AB107" s="49"/>
      <c r="AC107" s="49"/>
      <c r="AD107" s="49"/>
      <c r="AE107" s="49"/>
      <c r="AF107" s="49"/>
      <c r="AG107" s="49"/>
      <c r="AH107" s="49"/>
      <c r="AI107" s="49"/>
      <c r="AJ107" s="49"/>
      <c r="AK107" s="49"/>
      <c r="AL107" s="49"/>
      <c r="AM107" s="49"/>
      <c r="AN107" s="49"/>
      <c r="AO107" s="49"/>
      <c r="AP107" s="49"/>
    </row>
    <row r="108" spans="1:42" x14ac:dyDescent="0.35">
      <c r="A108" s="49"/>
      <c r="B108" s="49"/>
      <c r="C108" s="49"/>
      <c r="D108" s="49"/>
      <c r="E108" s="49"/>
      <c r="F108" s="49"/>
      <c r="G108" s="49"/>
      <c r="H108" s="49"/>
      <c r="I108" s="49"/>
      <c r="J108" s="49"/>
      <c r="K108" s="49"/>
      <c r="L108" s="49"/>
      <c r="M108" s="49"/>
      <c r="N108" s="49"/>
      <c r="O108" s="49"/>
      <c r="P108" s="49"/>
      <c r="Q108" s="49"/>
      <c r="R108" s="49"/>
      <c r="S108" s="49"/>
      <c r="T108" s="49"/>
      <c r="U108" s="49"/>
      <c r="V108" s="49"/>
      <c r="W108" s="49"/>
      <c r="X108" s="49"/>
      <c r="Y108" s="49"/>
      <c r="Z108" s="49"/>
      <c r="AA108" s="49"/>
      <c r="AB108" s="49"/>
      <c r="AC108" s="49"/>
      <c r="AD108" s="49"/>
      <c r="AE108" s="49"/>
      <c r="AF108" s="49"/>
      <c r="AG108" s="49"/>
      <c r="AH108" s="49"/>
      <c r="AI108" s="49"/>
      <c r="AJ108" s="49"/>
      <c r="AK108" s="49"/>
      <c r="AL108" s="49"/>
      <c r="AM108" s="49"/>
      <c r="AN108" s="49"/>
      <c r="AO108" s="49"/>
      <c r="AP108" s="49"/>
    </row>
    <row r="109" spans="1:42" x14ac:dyDescent="0.35">
      <c r="A109" s="49"/>
      <c r="B109" s="49"/>
      <c r="C109" s="49"/>
      <c r="D109" s="49"/>
      <c r="E109" s="49"/>
      <c r="F109" s="49"/>
      <c r="G109" s="49"/>
      <c r="H109" s="49"/>
      <c r="I109" s="49"/>
      <c r="J109" s="49"/>
      <c r="K109" s="49"/>
      <c r="L109" s="49"/>
      <c r="M109" s="49"/>
      <c r="N109" s="49"/>
      <c r="O109" s="49"/>
      <c r="P109" s="49"/>
      <c r="Q109" s="49"/>
      <c r="R109" s="49"/>
      <c r="S109" s="49"/>
      <c r="T109" s="49"/>
      <c r="U109" s="49"/>
      <c r="V109" s="49"/>
      <c r="W109" s="49"/>
      <c r="X109" s="49"/>
      <c r="Y109" s="49"/>
      <c r="Z109" s="49"/>
      <c r="AA109" s="49"/>
      <c r="AB109" s="49"/>
      <c r="AC109" s="49"/>
      <c r="AD109" s="49"/>
      <c r="AE109" s="49"/>
      <c r="AF109" s="49"/>
      <c r="AG109" s="49"/>
      <c r="AH109" s="49"/>
      <c r="AI109" s="49"/>
      <c r="AJ109" s="49"/>
      <c r="AK109" s="49"/>
      <c r="AL109" s="49"/>
      <c r="AM109" s="49"/>
      <c r="AN109" s="49"/>
      <c r="AO109" s="49"/>
      <c r="AP109" s="49"/>
    </row>
  </sheetData>
  <sheetProtection algorithmName="SHA-512" hashValue="vbn+xL8nqPZh62Qigj6D5WoKR0ZdCP9kVHndHEEHpk63kIPSV6Z+k5zbVYOT+05kt4YUYC4aUpxMN7GbubJo/w==" saltValue="UIi2pAIaHIJskHD8fywb7w==" spinCount="100000" sheet="1" objects="1" scenarios="1"/>
  <pageMargins left="0.7" right="0.7" top="0.75" bottom="0.75" header="0.3" footer="0.3"/>
  <pageSetup paperSize="9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3226E2-1113-4FBA-923B-373E34DD76DE}">
  <sheetPr codeName="Taul11"/>
  <dimension ref="A1:BB236"/>
  <sheetViews>
    <sheetView topLeftCell="X76" zoomScale="90" zoomScaleNormal="90" workbookViewId="0">
      <selection activeCell="AP33" sqref="AP33"/>
    </sheetView>
  </sheetViews>
  <sheetFormatPr defaultRowHeight="14.5" x14ac:dyDescent="0.35"/>
  <cols>
    <col min="3" max="3" width="16.1796875" bestFit="1" customWidth="1"/>
    <col min="4" max="4" width="13.26953125" bestFit="1" customWidth="1"/>
    <col min="5" max="5" width="10" bestFit="1" customWidth="1"/>
    <col min="6" max="6" width="17.81640625" bestFit="1" customWidth="1"/>
    <col min="7" max="7" width="14.7265625" bestFit="1" customWidth="1"/>
    <col min="8" max="8" width="13.7265625" bestFit="1" customWidth="1"/>
    <col min="9" max="9" width="10.26953125" bestFit="1" customWidth="1"/>
    <col min="10" max="10" width="10.81640625" bestFit="1" customWidth="1"/>
    <col min="11" max="11" width="12.7265625" bestFit="1" customWidth="1"/>
    <col min="12" max="12" width="13.7265625" bestFit="1" customWidth="1"/>
    <col min="15" max="15" width="18.81640625" bestFit="1" customWidth="1"/>
    <col min="18" max="18" width="18.81640625" bestFit="1" customWidth="1"/>
    <col min="21" max="21" width="22.08984375" customWidth="1"/>
    <col min="24" max="24" width="19.81640625" customWidth="1"/>
  </cols>
  <sheetData>
    <row r="1" spans="1:54" x14ac:dyDescent="0.35">
      <c r="A1" s="49"/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  <c r="AF1" s="49"/>
      <c r="AG1" s="49"/>
      <c r="AH1" s="49"/>
      <c r="AI1" s="49"/>
      <c r="AJ1" s="49"/>
      <c r="AK1" s="49"/>
      <c r="AL1" s="49"/>
      <c r="AM1" s="49"/>
      <c r="AN1" s="49"/>
      <c r="AO1" s="49"/>
      <c r="AP1" s="49"/>
      <c r="AQ1" s="49"/>
      <c r="AR1" s="49"/>
      <c r="AS1" s="49"/>
      <c r="AT1" s="49"/>
      <c r="AU1" s="49"/>
      <c r="AV1" s="49"/>
      <c r="AW1" s="49"/>
      <c r="AX1" s="49"/>
      <c r="AY1" s="49"/>
      <c r="AZ1" s="49"/>
      <c r="BA1" s="49"/>
      <c r="BB1" s="49"/>
    </row>
    <row r="2" spans="1:54" x14ac:dyDescent="0.35">
      <c r="A2" s="49"/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/>
      <c r="AK2" s="49"/>
      <c r="AL2" s="49"/>
      <c r="AM2" s="49"/>
      <c r="AN2" s="49"/>
      <c r="AO2" s="49"/>
      <c r="AP2" s="49"/>
      <c r="AQ2" s="49"/>
      <c r="AR2" s="49"/>
      <c r="AS2" s="49"/>
      <c r="AT2" s="49"/>
      <c r="AU2" s="49"/>
      <c r="AV2" s="49"/>
      <c r="AW2" s="49"/>
      <c r="AX2" s="49"/>
      <c r="AY2" s="49"/>
      <c r="AZ2" s="49"/>
      <c r="BA2" s="49"/>
      <c r="BB2" s="49"/>
    </row>
    <row r="3" spans="1:54" x14ac:dyDescent="0.35">
      <c r="A3" s="49">
        <v>1</v>
      </c>
      <c r="B3" s="49">
        <v>2</v>
      </c>
      <c r="C3" s="49">
        <v>3</v>
      </c>
      <c r="D3" s="49">
        <v>4</v>
      </c>
      <c r="E3" s="49">
        <v>5</v>
      </c>
      <c r="F3" s="49">
        <v>6</v>
      </c>
      <c r="G3" s="49">
        <v>7</v>
      </c>
      <c r="H3" s="49">
        <v>8</v>
      </c>
      <c r="I3" s="49">
        <v>9</v>
      </c>
      <c r="J3" s="49">
        <v>10</v>
      </c>
      <c r="K3" s="49">
        <v>11</v>
      </c>
      <c r="L3" s="49">
        <v>12</v>
      </c>
      <c r="M3" s="49">
        <v>13</v>
      </c>
      <c r="N3" s="49">
        <v>14</v>
      </c>
      <c r="O3" s="49">
        <v>15</v>
      </c>
      <c r="P3" s="49">
        <v>16</v>
      </c>
      <c r="Q3" s="49">
        <v>17</v>
      </c>
      <c r="R3" s="49">
        <v>18</v>
      </c>
      <c r="S3" s="49">
        <v>19</v>
      </c>
      <c r="T3" s="49">
        <v>20</v>
      </c>
      <c r="U3" s="49">
        <v>21</v>
      </c>
      <c r="V3" s="49">
        <v>22</v>
      </c>
      <c r="W3" s="49">
        <v>23</v>
      </c>
      <c r="X3" s="49">
        <v>24</v>
      </c>
      <c r="Y3" s="49">
        <v>25</v>
      </c>
      <c r="Z3" s="49">
        <v>26</v>
      </c>
      <c r="AA3" s="49">
        <v>27</v>
      </c>
      <c r="AB3" s="49">
        <v>28</v>
      </c>
      <c r="AC3" s="49">
        <v>29</v>
      </c>
      <c r="AD3" s="49">
        <v>30</v>
      </c>
      <c r="AE3" s="49">
        <v>31</v>
      </c>
      <c r="AF3" s="49">
        <v>32</v>
      </c>
      <c r="AG3" s="49"/>
      <c r="AH3" s="49"/>
      <c r="AI3" s="49"/>
      <c r="AJ3" s="49"/>
      <c r="AK3" s="49"/>
      <c r="AL3" s="49"/>
      <c r="AM3" s="49"/>
      <c r="AN3" s="49"/>
      <c r="AO3" s="49"/>
      <c r="AP3" s="49"/>
      <c r="AQ3" s="49"/>
      <c r="AR3" s="49"/>
      <c r="AS3" s="49"/>
      <c r="AT3" s="49"/>
      <c r="AU3" s="49"/>
      <c r="AV3" s="49"/>
      <c r="AW3" s="49"/>
      <c r="AX3" s="49"/>
      <c r="AY3" s="49"/>
      <c r="AZ3" s="49"/>
      <c r="BA3" s="49"/>
      <c r="BB3" s="49"/>
    </row>
    <row r="4" spans="1:54" ht="21" x14ac:dyDescent="0.5">
      <c r="A4" s="79" t="s">
        <v>158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  <c r="AA4" s="49"/>
      <c r="AB4" s="49"/>
      <c r="AC4" s="49"/>
      <c r="AD4" s="49"/>
      <c r="AE4" s="49"/>
      <c r="AF4" s="49"/>
      <c r="AG4" s="49"/>
      <c r="AH4" s="49"/>
      <c r="AI4" s="49"/>
      <c r="AJ4" s="49"/>
      <c r="AK4" s="49"/>
      <c r="AL4" s="49"/>
      <c r="AM4" s="49"/>
      <c r="AN4" s="49"/>
      <c r="AO4" s="49"/>
      <c r="AP4" s="49"/>
      <c r="AQ4" s="49"/>
      <c r="AR4" s="49"/>
      <c r="AS4" s="49"/>
      <c r="AT4" s="49"/>
      <c r="AU4" s="49"/>
      <c r="AV4" s="49"/>
      <c r="AW4" s="49"/>
      <c r="AX4" s="49"/>
      <c r="AY4" s="49"/>
      <c r="AZ4" s="49"/>
      <c r="BA4" s="49"/>
      <c r="BB4" s="49"/>
    </row>
    <row r="5" spans="1:54" ht="16" thickBot="1" x14ac:dyDescent="0.4">
      <c r="A5" s="91"/>
      <c r="B5" s="92"/>
      <c r="C5" s="93" t="s">
        <v>164</v>
      </c>
      <c r="D5" s="92" t="s">
        <v>160</v>
      </c>
      <c r="E5" s="94" t="s">
        <v>161</v>
      </c>
      <c r="F5" s="92" t="s">
        <v>169</v>
      </c>
      <c r="G5" s="92" t="s">
        <v>160</v>
      </c>
      <c r="H5" s="94" t="s">
        <v>161</v>
      </c>
      <c r="I5" s="49"/>
      <c r="J5" s="92" t="s">
        <v>260</v>
      </c>
      <c r="K5" s="49"/>
      <c r="L5" s="92" t="s">
        <v>160</v>
      </c>
      <c r="M5" s="94" t="s">
        <v>161</v>
      </c>
      <c r="N5" s="92" t="s">
        <v>168</v>
      </c>
      <c r="O5" s="92" t="s">
        <v>160</v>
      </c>
      <c r="P5" s="94" t="s">
        <v>161</v>
      </c>
      <c r="Q5" s="95" t="s">
        <v>34</v>
      </c>
      <c r="R5" s="95" t="s">
        <v>162</v>
      </c>
      <c r="S5" s="96" t="s">
        <v>161</v>
      </c>
      <c r="T5" s="92" t="s">
        <v>159</v>
      </c>
      <c r="U5" s="92" t="s">
        <v>160</v>
      </c>
      <c r="V5" s="94" t="s">
        <v>161</v>
      </c>
      <c r="W5" s="92" t="s">
        <v>4</v>
      </c>
      <c r="X5" s="92" t="s">
        <v>162</v>
      </c>
      <c r="Y5" s="94" t="s">
        <v>161</v>
      </c>
      <c r="Z5" s="61" t="s">
        <v>250</v>
      </c>
      <c r="AA5" s="61" t="s">
        <v>160</v>
      </c>
      <c r="AB5" s="61" t="s">
        <v>161</v>
      </c>
      <c r="AC5" s="62" t="s">
        <v>251</v>
      </c>
      <c r="AD5" s="61" t="s">
        <v>160</v>
      </c>
      <c r="AE5" s="61" t="s">
        <v>161</v>
      </c>
      <c r="AF5" s="62" t="s">
        <v>251</v>
      </c>
      <c r="AG5" s="49"/>
      <c r="AH5" s="49"/>
      <c r="AI5" s="49"/>
      <c r="AJ5" s="49"/>
      <c r="AK5" s="49"/>
      <c r="AL5" s="49"/>
      <c r="AM5" s="49"/>
      <c r="AN5" s="49"/>
      <c r="AO5" s="49"/>
      <c r="AP5" s="49"/>
      <c r="AQ5" s="49"/>
      <c r="AR5" s="49"/>
      <c r="AS5" s="49"/>
      <c r="AT5" s="49"/>
      <c r="AU5" s="49"/>
      <c r="AV5" s="49"/>
      <c r="AW5" s="49"/>
      <c r="AX5" s="49"/>
      <c r="AY5" s="49"/>
      <c r="AZ5" s="49"/>
      <c r="BA5" s="49"/>
      <c r="BB5" s="49"/>
    </row>
    <row r="6" spans="1:54" ht="15.5" x14ac:dyDescent="0.35">
      <c r="A6" s="66" t="s">
        <v>272</v>
      </c>
      <c r="B6" s="65" t="s">
        <v>272</v>
      </c>
      <c r="C6" s="61"/>
      <c r="D6" s="61"/>
      <c r="E6" s="97"/>
      <c r="F6" s="61"/>
      <c r="G6" s="61"/>
      <c r="H6" s="97"/>
      <c r="I6" s="66" t="s">
        <v>272</v>
      </c>
      <c r="J6" s="61">
        <v>0</v>
      </c>
      <c r="K6" s="66" t="s">
        <v>272</v>
      </c>
      <c r="L6" s="61"/>
      <c r="M6" s="97"/>
      <c r="N6" s="61"/>
      <c r="O6" s="61"/>
      <c r="P6" s="97"/>
      <c r="Q6" s="20"/>
      <c r="R6" s="20"/>
      <c r="S6" s="50"/>
      <c r="T6" s="61"/>
      <c r="U6" s="61"/>
      <c r="V6" s="97"/>
      <c r="W6" s="61"/>
      <c r="X6" s="61"/>
      <c r="Y6" s="97"/>
      <c r="Z6" s="61"/>
      <c r="AA6" s="61"/>
      <c r="AB6" s="61"/>
      <c r="AC6" s="20">
        <v>0</v>
      </c>
      <c r="AD6" s="49"/>
      <c r="AE6" s="49"/>
      <c r="AF6" s="49">
        <v>0</v>
      </c>
      <c r="AG6" s="49"/>
      <c r="AH6" s="66" t="s">
        <v>272</v>
      </c>
      <c r="AI6" s="65" t="s">
        <v>272</v>
      </c>
      <c r="AJ6" s="49" t="s">
        <v>272</v>
      </c>
      <c r="AK6" s="49"/>
      <c r="AL6" s="49"/>
      <c r="AM6" s="49"/>
      <c r="AN6" s="49"/>
      <c r="AO6" s="49"/>
      <c r="AP6" s="49"/>
      <c r="AQ6" s="49"/>
      <c r="AR6" s="49"/>
      <c r="AS6" s="49"/>
      <c r="AT6" s="49"/>
      <c r="AU6" s="49"/>
      <c r="AV6" s="49"/>
      <c r="AW6" s="49"/>
      <c r="AX6" s="49"/>
      <c r="AY6" s="49"/>
      <c r="AZ6" s="49"/>
      <c r="BA6" s="49"/>
      <c r="BB6" s="49"/>
    </row>
    <row r="7" spans="1:54" ht="15.5" x14ac:dyDescent="0.35">
      <c r="A7" s="67" t="s">
        <v>163</v>
      </c>
      <c r="B7" s="61" t="s">
        <v>172</v>
      </c>
      <c r="C7" s="61">
        <v>28</v>
      </c>
      <c r="D7" s="98">
        <v>1322.46</v>
      </c>
      <c r="E7" s="99">
        <v>23510.400000000001</v>
      </c>
      <c r="F7" s="61">
        <v>220</v>
      </c>
      <c r="G7" s="98">
        <v>21685.5</v>
      </c>
      <c r="H7" s="99">
        <v>0</v>
      </c>
      <c r="I7" s="67" t="s">
        <v>163</v>
      </c>
      <c r="J7" s="61">
        <v>84.5</v>
      </c>
      <c r="K7" s="67" t="s">
        <v>163</v>
      </c>
      <c r="L7" s="98">
        <v>7943</v>
      </c>
      <c r="M7" s="99">
        <v>63544</v>
      </c>
      <c r="N7" s="61">
        <v>15</v>
      </c>
      <c r="O7" s="98">
        <v>3038.0000000000005</v>
      </c>
      <c r="P7" s="99">
        <v>0</v>
      </c>
      <c r="Q7" s="63">
        <v>0</v>
      </c>
      <c r="R7" s="63">
        <v>0</v>
      </c>
      <c r="S7" s="50">
        <v>0</v>
      </c>
      <c r="T7" s="61">
        <v>0</v>
      </c>
      <c r="U7" s="61">
        <v>0</v>
      </c>
      <c r="V7" s="97">
        <v>0</v>
      </c>
      <c r="W7" s="61">
        <v>0</v>
      </c>
      <c r="X7" s="61">
        <v>0</v>
      </c>
      <c r="Y7" s="97">
        <v>0</v>
      </c>
      <c r="Z7" s="61"/>
      <c r="AA7" s="98">
        <f t="shared" ref="AA7:AB13" si="0">D7+G7+L7+O7+R7+U7+X7</f>
        <v>33988.959999999999</v>
      </c>
      <c r="AB7" s="98">
        <f t="shared" si="0"/>
        <v>87054.399999999994</v>
      </c>
      <c r="AC7" s="68">
        <f>AA7-AB7</f>
        <v>-53065.439999999995</v>
      </c>
      <c r="AD7" s="72">
        <f>AA7/1000</f>
        <v>33.988959999999999</v>
      </c>
      <c r="AE7" s="72">
        <f>AB7/1000</f>
        <v>87.054400000000001</v>
      </c>
      <c r="AF7" s="72">
        <f>AC7/1000</f>
        <v>-53.065439999999995</v>
      </c>
      <c r="AG7" s="49"/>
      <c r="AH7" s="67" t="s">
        <v>163</v>
      </c>
      <c r="AI7" s="20" t="s">
        <v>172</v>
      </c>
      <c r="AJ7" s="49" t="s">
        <v>292</v>
      </c>
      <c r="AK7" s="49"/>
      <c r="AL7" s="49"/>
      <c r="AM7" s="49"/>
      <c r="AN7" s="49"/>
      <c r="AO7" s="49"/>
      <c r="AP7" s="49"/>
      <c r="AQ7" s="49"/>
      <c r="AR7" s="49"/>
      <c r="AS7" s="49"/>
      <c r="AT7" s="49"/>
      <c r="AU7" s="49"/>
      <c r="AV7" s="49"/>
      <c r="AW7" s="49"/>
      <c r="AX7" s="49"/>
      <c r="AY7" s="49"/>
      <c r="AZ7" s="49"/>
      <c r="BA7" s="49"/>
      <c r="BB7" s="49"/>
    </row>
    <row r="8" spans="1:54" ht="15.5" x14ac:dyDescent="0.35">
      <c r="A8" s="67" t="s">
        <v>170</v>
      </c>
      <c r="B8" s="61" t="s">
        <v>173</v>
      </c>
      <c r="C8" s="61">
        <v>28</v>
      </c>
      <c r="D8" s="98">
        <v>1322.46</v>
      </c>
      <c r="E8" s="99">
        <v>23510.400000000001</v>
      </c>
      <c r="F8" s="61">
        <v>220</v>
      </c>
      <c r="G8" s="98">
        <v>21685.5</v>
      </c>
      <c r="H8" s="99">
        <v>0</v>
      </c>
      <c r="I8" s="67" t="s">
        <v>170</v>
      </c>
      <c r="J8" s="100">
        <v>127</v>
      </c>
      <c r="K8" s="67" t="s">
        <v>170</v>
      </c>
      <c r="L8" s="101">
        <v>11938</v>
      </c>
      <c r="M8" s="97">
        <v>95504</v>
      </c>
      <c r="N8" s="100">
        <v>15</v>
      </c>
      <c r="O8" s="98">
        <v>3038.0000000000005</v>
      </c>
      <c r="P8" s="99">
        <v>0</v>
      </c>
      <c r="Q8" s="63">
        <v>0</v>
      </c>
      <c r="R8" s="63">
        <v>0</v>
      </c>
      <c r="S8" s="50">
        <v>0</v>
      </c>
      <c r="T8" s="61">
        <v>0</v>
      </c>
      <c r="U8" s="61">
        <v>0</v>
      </c>
      <c r="V8" s="97">
        <v>0</v>
      </c>
      <c r="W8" s="61">
        <v>0</v>
      </c>
      <c r="X8" s="61">
        <v>0</v>
      </c>
      <c r="Y8" s="97">
        <v>0</v>
      </c>
      <c r="Z8" s="80"/>
      <c r="AA8" s="98">
        <f t="shared" si="0"/>
        <v>37983.96</v>
      </c>
      <c r="AB8" s="98">
        <f t="shared" si="0"/>
        <v>119014.39999999999</v>
      </c>
      <c r="AC8" s="68">
        <f t="shared" ref="AC8:AC13" si="1">AA8-AB8</f>
        <v>-81030.44</v>
      </c>
      <c r="AD8" s="72">
        <f t="shared" ref="AD8:AD13" si="2">AA8/1000</f>
        <v>37.983959999999996</v>
      </c>
      <c r="AE8" s="72">
        <f t="shared" ref="AE8:AE13" si="3">AB8/1000</f>
        <v>119.01439999999999</v>
      </c>
      <c r="AF8" s="72">
        <f t="shared" ref="AF8:AF13" si="4">AC8/1000</f>
        <v>-81.030439999999999</v>
      </c>
      <c r="AG8" s="49"/>
      <c r="AH8" s="67" t="s">
        <v>170</v>
      </c>
      <c r="AI8" s="20" t="s">
        <v>173</v>
      </c>
      <c r="AJ8" s="49" t="s">
        <v>293</v>
      </c>
      <c r="AK8" s="49"/>
      <c r="AL8" s="49"/>
      <c r="AM8" s="49"/>
      <c r="AN8" s="49"/>
      <c r="AO8" s="49"/>
      <c r="AP8" s="49"/>
      <c r="AQ8" s="49"/>
      <c r="AR8" s="49"/>
      <c r="AS8" s="49"/>
      <c r="AT8" s="49"/>
      <c r="AU8" s="49"/>
      <c r="AV8" s="49"/>
      <c r="AW8" s="49"/>
      <c r="AX8" s="49"/>
      <c r="AY8" s="49"/>
      <c r="AZ8" s="49"/>
      <c r="BA8" s="49"/>
      <c r="BB8" s="49"/>
    </row>
    <row r="9" spans="1:54" ht="15.5" x14ac:dyDescent="0.35">
      <c r="A9" s="67" t="s">
        <v>171</v>
      </c>
      <c r="B9" s="61" t="s">
        <v>174</v>
      </c>
      <c r="C9" s="61">
        <v>28</v>
      </c>
      <c r="D9" s="98">
        <v>1322.46</v>
      </c>
      <c r="E9" s="99">
        <v>23510.400000000001</v>
      </c>
      <c r="F9" s="61">
        <v>175</v>
      </c>
      <c r="G9" s="102">
        <v>17659.5</v>
      </c>
      <c r="H9" s="97">
        <v>0</v>
      </c>
      <c r="I9" s="67" t="s">
        <v>171</v>
      </c>
      <c r="J9" s="61">
        <v>217</v>
      </c>
      <c r="K9" s="67" t="s">
        <v>171</v>
      </c>
      <c r="L9" s="61">
        <v>20398</v>
      </c>
      <c r="M9" s="103">
        <v>163184</v>
      </c>
      <c r="N9" s="100">
        <v>15</v>
      </c>
      <c r="O9" s="98">
        <v>3038.0000000000005</v>
      </c>
      <c r="P9" s="99">
        <v>0</v>
      </c>
      <c r="Q9" s="63">
        <v>0</v>
      </c>
      <c r="R9" s="63">
        <v>0</v>
      </c>
      <c r="S9" s="50">
        <v>0</v>
      </c>
      <c r="T9" s="61">
        <v>0</v>
      </c>
      <c r="U9" s="61">
        <v>0</v>
      </c>
      <c r="V9" s="97">
        <v>0</v>
      </c>
      <c r="W9" s="61">
        <v>0</v>
      </c>
      <c r="X9" s="61">
        <v>0</v>
      </c>
      <c r="Y9" s="97">
        <v>0</v>
      </c>
      <c r="Z9" s="80"/>
      <c r="AA9" s="98">
        <f t="shared" si="0"/>
        <v>42417.96</v>
      </c>
      <c r="AB9" s="98">
        <f t="shared" si="0"/>
        <v>186694.39999999999</v>
      </c>
      <c r="AC9" s="68">
        <f t="shared" si="1"/>
        <v>-144276.44</v>
      </c>
      <c r="AD9" s="72">
        <f t="shared" si="2"/>
        <v>42.417960000000001</v>
      </c>
      <c r="AE9" s="72">
        <f t="shared" si="3"/>
        <v>186.6944</v>
      </c>
      <c r="AF9" s="72">
        <f t="shared" si="4"/>
        <v>-144.27644000000001</v>
      </c>
      <c r="AG9" s="49"/>
      <c r="AH9" s="67" t="s">
        <v>171</v>
      </c>
      <c r="AI9" s="20" t="s">
        <v>174</v>
      </c>
      <c r="AJ9" s="49" t="s">
        <v>294</v>
      </c>
      <c r="AK9" s="49"/>
      <c r="AL9" s="49"/>
      <c r="AM9" s="49"/>
      <c r="AN9" s="49"/>
      <c r="AO9" s="49"/>
      <c r="AP9" s="49"/>
      <c r="AQ9" s="49"/>
      <c r="AR9" s="49"/>
      <c r="AS9" s="49"/>
      <c r="AT9" s="49"/>
      <c r="AU9" s="49"/>
      <c r="AV9" s="49"/>
      <c r="AW9" s="49"/>
      <c r="AX9" s="49"/>
      <c r="AY9" s="49"/>
      <c r="AZ9" s="49"/>
      <c r="BA9" s="49"/>
      <c r="BB9" s="49"/>
    </row>
    <row r="10" spans="1:54" ht="15.5" x14ac:dyDescent="0.35">
      <c r="A10" s="67" t="s">
        <v>177</v>
      </c>
      <c r="B10" s="61" t="s">
        <v>175</v>
      </c>
      <c r="C10" s="61">
        <v>28</v>
      </c>
      <c r="D10" s="98">
        <v>1322.46</v>
      </c>
      <c r="E10" s="99">
        <v>23510.400000000001</v>
      </c>
      <c r="F10" s="61">
        <v>150</v>
      </c>
      <c r="G10" s="102">
        <v>15051.75</v>
      </c>
      <c r="H10" s="97">
        <v>0</v>
      </c>
      <c r="I10" s="67" t="s">
        <v>177</v>
      </c>
      <c r="J10" s="61">
        <v>321.5</v>
      </c>
      <c r="K10" s="67" t="s">
        <v>177</v>
      </c>
      <c r="L10" s="61">
        <v>30221</v>
      </c>
      <c r="M10" s="97">
        <v>241768</v>
      </c>
      <c r="N10" s="100">
        <v>15</v>
      </c>
      <c r="O10" s="98">
        <v>3038.0000000000005</v>
      </c>
      <c r="P10" s="99">
        <v>0</v>
      </c>
      <c r="Q10" s="63">
        <v>0</v>
      </c>
      <c r="R10" s="63">
        <v>0</v>
      </c>
      <c r="S10" s="50">
        <v>0</v>
      </c>
      <c r="T10" s="61">
        <v>0</v>
      </c>
      <c r="U10" s="61">
        <v>0</v>
      </c>
      <c r="V10" s="97">
        <v>0</v>
      </c>
      <c r="W10" s="61">
        <v>0</v>
      </c>
      <c r="X10" s="61">
        <v>0</v>
      </c>
      <c r="Y10" s="97">
        <v>0</v>
      </c>
      <c r="Z10" s="80"/>
      <c r="AA10" s="98">
        <f t="shared" si="0"/>
        <v>49633.21</v>
      </c>
      <c r="AB10" s="98">
        <f t="shared" si="0"/>
        <v>265278.40000000002</v>
      </c>
      <c r="AC10" s="68">
        <f t="shared" si="1"/>
        <v>-215645.19000000003</v>
      </c>
      <c r="AD10" s="72">
        <f t="shared" si="2"/>
        <v>49.633209999999998</v>
      </c>
      <c r="AE10" s="72">
        <f t="shared" si="3"/>
        <v>265.27840000000003</v>
      </c>
      <c r="AF10" s="72">
        <f t="shared" si="4"/>
        <v>-215.64519000000004</v>
      </c>
      <c r="AG10" s="49"/>
      <c r="AH10" s="67" t="s">
        <v>177</v>
      </c>
      <c r="AI10" s="20" t="s">
        <v>175</v>
      </c>
      <c r="AJ10" s="49" t="s">
        <v>295</v>
      </c>
      <c r="AK10" s="49"/>
      <c r="AL10" s="49"/>
      <c r="AM10" s="49"/>
      <c r="AN10" s="49"/>
      <c r="AO10" s="49"/>
      <c r="AP10" s="49"/>
      <c r="AQ10" s="49"/>
      <c r="AR10" s="49"/>
      <c r="AS10" s="49"/>
      <c r="AT10" s="49"/>
      <c r="AU10" s="49"/>
      <c r="AV10" s="49"/>
      <c r="AW10" s="49"/>
      <c r="AX10" s="49"/>
      <c r="AY10" s="49"/>
      <c r="AZ10" s="49"/>
      <c r="BA10" s="49"/>
      <c r="BB10" s="49"/>
    </row>
    <row r="11" spans="1:54" ht="15.5" x14ac:dyDescent="0.35">
      <c r="A11" s="67" t="s">
        <v>178</v>
      </c>
      <c r="B11" s="61" t="s">
        <v>176</v>
      </c>
      <c r="C11" s="61">
        <v>28</v>
      </c>
      <c r="D11" s="98">
        <v>1322.46</v>
      </c>
      <c r="E11" s="99">
        <v>23510.400000000001</v>
      </c>
      <c r="F11" s="61">
        <v>125</v>
      </c>
      <c r="G11" s="104">
        <v>12672.75</v>
      </c>
      <c r="H11" s="50">
        <v>0</v>
      </c>
      <c r="I11" s="67" t="s">
        <v>178</v>
      </c>
      <c r="J11" s="61">
        <v>431.5</v>
      </c>
      <c r="K11" s="67" t="s">
        <v>178</v>
      </c>
      <c r="L11" s="61">
        <v>40561</v>
      </c>
      <c r="M11" s="97">
        <v>324488</v>
      </c>
      <c r="N11" s="100">
        <v>15</v>
      </c>
      <c r="O11" s="98">
        <v>3038.0000000000005</v>
      </c>
      <c r="P11" s="99">
        <v>0</v>
      </c>
      <c r="Q11" s="63">
        <v>0</v>
      </c>
      <c r="R11" s="63">
        <v>0</v>
      </c>
      <c r="S11" s="50">
        <v>0</v>
      </c>
      <c r="T11" s="61">
        <v>0</v>
      </c>
      <c r="U11" s="61">
        <v>0</v>
      </c>
      <c r="V11" s="97">
        <v>0</v>
      </c>
      <c r="W11" s="61">
        <v>0</v>
      </c>
      <c r="X11" s="61">
        <v>0</v>
      </c>
      <c r="Y11" s="97">
        <v>0</v>
      </c>
      <c r="Z11" s="49"/>
      <c r="AA11" s="98">
        <f t="shared" si="0"/>
        <v>57594.21</v>
      </c>
      <c r="AB11" s="98">
        <f t="shared" si="0"/>
        <v>347998.4</v>
      </c>
      <c r="AC11" s="68">
        <f t="shared" si="1"/>
        <v>-290404.19</v>
      </c>
      <c r="AD11" s="72">
        <f t="shared" si="2"/>
        <v>57.594209999999997</v>
      </c>
      <c r="AE11" s="72">
        <f t="shared" si="3"/>
        <v>347.9984</v>
      </c>
      <c r="AF11" s="72">
        <f t="shared" si="4"/>
        <v>-290.40419000000003</v>
      </c>
      <c r="AG11" s="49"/>
      <c r="AH11" s="67" t="s">
        <v>178</v>
      </c>
      <c r="AI11" s="20" t="s">
        <v>176</v>
      </c>
      <c r="AJ11" s="49" t="s">
        <v>296</v>
      </c>
      <c r="AK11" s="49"/>
      <c r="AL11" s="49"/>
      <c r="AM11" s="49"/>
      <c r="AN11" s="49"/>
      <c r="AO11" s="49"/>
      <c r="AP11" s="49"/>
      <c r="AQ11" s="49"/>
      <c r="AR11" s="49"/>
      <c r="AS11" s="49"/>
      <c r="AT11" s="49"/>
      <c r="AU11" s="49"/>
      <c r="AV11" s="49"/>
      <c r="AW11" s="49"/>
      <c r="AX11" s="49"/>
      <c r="AY11" s="49"/>
      <c r="AZ11" s="49"/>
      <c r="BA11" s="49"/>
      <c r="BB11" s="49"/>
    </row>
    <row r="12" spans="1:54" ht="15.5" x14ac:dyDescent="0.35">
      <c r="A12" s="105" t="s">
        <v>181</v>
      </c>
      <c r="B12" s="106" t="s">
        <v>179</v>
      </c>
      <c r="C12" s="106">
        <v>28</v>
      </c>
      <c r="D12" s="107">
        <v>1322.46</v>
      </c>
      <c r="E12" s="108">
        <v>23510.400000000001</v>
      </c>
      <c r="F12" s="106">
        <v>250</v>
      </c>
      <c r="G12" s="107">
        <v>14041.5</v>
      </c>
      <c r="H12" s="53">
        <v>0</v>
      </c>
      <c r="I12" s="105" t="s">
        <v>181</v>
      </c>
      <c r="J12" s="52">
        <v>0</v>
      </c>
      <c r="K12" s="105" t="s">
        <v>181</v>
      </c>
      <c r="L12" s="52">
        <v>0</v>
      </c>
      <c r="M12" s="53">
        <v>0</v>
      </c>
      <c r="N12" s="106">
        <v>25</v>
      </c>
      <c r="O12" s="52">
        <v>5341.0000000000009</v>
      </c>
      <c r="P12" s="53"/>
      <c r="Q12" s="52">
        <v>12</v>
      </c>
      <c r="R12" s="52">
        <v>2091</v>
      </c>
      <c r="S12" s="52">
        <v>8160</v>
      </c>
      <c r="T12" s="52"/>
      <c r="U12" s="109">
        <v>6788.4410880000005</v>
      </c>
      <c r="V12" s="110">
        <v>30170.849280000002</v>
      </c>
      <c r="W12" s="111">
        <v>0</v>
      </c>
      <c r="X12" s="112">
        <v>0</v>
      </c>
      <c r="Y12" s="113">
        <v>0</v>
      </c>
      <c r="Z12" s="52"/>
      <c r="AA12" s="98">
        <f t="shared" si="0"/>
        <v>29584.401087999999</v>
      </c>
      <c r="AB12" s="98">
        <f t="shared" si="0"/>
        <v>61841.249280000004</v>
      </c>
      <c r="AC12" s="68">
        <f t="shared" si="1"/>
        <v>-32256.848192000005</v>
      </c>
      <c r="AD12" s="72">
        <f t="shared" si="2"/>
        <v>29.584401088</v>
      </c>
      <c r="AE12" s="72">
        <f t="shared" si="3"/>
        <v>61.841249280000007</v>
      </c>
      <c r="AF12" s="72">
        <f t="shared" si="4"/>
        <v>-32.256848192000007</v>
      </c>
      <c r="AG12" s="49"/>
      <c r="AH12" s="105" t="s">
        <v>181</v>
      </c>
      <c r="AI12" s="52" t="s">
        <v>179</v>
      </c>
      <c r="AJ12" s="49" t="s">
        <v>290</v>
      </c>
      <c r="AK12" s="49"/>
      <c r="AL12" s="49"/>
      <c r="AM12" s="49"/>
      <c r="AN12" s="49"/>
      <c r="AO12" s="49"/>
      <c r="AP12" s="49"/>
      <c r="AQ12" s="49"/>
      <c r="AR12" s="49"/>
      <c r="AS12" s="49"/>
      <c r="AT12" s="49"/>
      <c r="AU12" s="49"/>
      <c r="AV12" s="49"/>
      <c r="AW12" s="49"/>
      <c r="AX12" s="49"/>
      <c r="AY12" s="49"/>
      <c r="AZ12" s="49"/>
      <c r="BA12" s="49"/>
      <c r="BB12" s="49"/>
    </row>
    <row r="13" spans="1:54" ht="15.5" x14ac:dyDescent="0.35">
      <c r="A13" s="73" t="s">
        <v>182</v>
      </c>
      <c r="B13" s="74" t="s">
        <v>180</v>
      </c>
      <c r="C13" s="114">
        <v>0</v>
      </c>
      <c r="D13" s="115">
        <v>0</v>
      </c>
      <c r="E13" s="77">
        <v>0</v>
      </c>
      <c r="F13" s="114">
        <v>250</v>
      </c>
      <c r="G13" s="116">
        <v>24293.25</v>
      </c>
      <c r="H13" s="77">
        <v>0</v>
      </c>
      <c r="I13" s="73" t="s">
        <v>182</v>
      </c>
      <c r="J13" s="74">
        <v>0</v>
      </c>
      <c r="K13" s="73" t="s">
        <v>182</v>
      </c>
      <c r="L13" s="75">
        <v>0</v>
      </c>
      <c r="M13" s="77">
        <v>0</v>
      </c>
      <c r="N13" s="115">
        <v>0</v>
      </c>
      <c r="O13" s="115">
        <v>0</v>
      </c>
      <c r="P13" s="77">
        <v>0</v>
      </c>
      <c r="Q13" s="114">
        <v>0</v>
      </c>
      <c r="R13" s="114">
        <v>0</v>
      </c>
      <c r="S13" s="77">
        <v>0</v>
      </c>
      <c r="T13" s="114">
        <v>0</v>
      </c>
      <c r="U13" s="114">
        <v>0</v>
      </c>
      <c r="V13" s="77">
        <v>0</v>
      </c>
      <c r="W13" s="78">
        <v>220</v>
      </c>
      <c r="X13" s="76">
        <v>94744.91</v>
      </c>
      <c r="Y13" s="77">
        <v>0</v>
      </c>
      <c r="Z13" s="49"/>
      <c r="AA13" s="98">
        <f t="shared" si="0"/>
        <v>119038.16</v>
      </c>
      <c r="AB13" s="98">
        <f t="shared" si="0"/>
        <v>0</v>
      </c>
      <c r="AC13" s="68">
        <f t="shared" si="1"/>
        <v>119038.16</v>
      </c>
      <c r="AD13" s="72">
        <f t="shared" si="2"/>
        <v>119.03816</v>
      </c>
      <c r="AE13" s="72">
        <f t="shared" si="3"/>
        <v>0</v>
      </c>
      <c r="AF13" s="72">
        <f t="shared" si="4"/>
        <v>119.03816</v>
      </c>
      <c r="AG13" s="49"/>
      <c r="AH13" s="73" t="s">
        <v>182</v>
      </c>
      <c r="AI13" s="75" t="s">
        <v>180</v>
      </c>
      <c r="AJ13" s="49" t="s">
        <v>291</v>
      </c>
      <c r="AK13" s="49"/>
      <c r="AL13" s="49"/>
      <c r="AM13" s="49"/>
      <c r="AN13" s="49"/>
      <c r="AO13" s="49"/>
      <c r="AP13" s="49"/>
      <c r="AQ13" s="49"/>
      <c r="AR13" s="49"/>
      <c r="AS13" s="49"/>
      <c r="AT13" s="49"/>
      <c r="AU13" s="49"/>
      <c r="AV13" s="49"/>
      <c r="AW13" s="49"/>
      <c r="AX13" s="49"/>
      <c r="AY13" s="49"/>
      <c r="AZ13" s="49"/>
      <c r="BA13" s="49"/>
      <c r="BB13" s="49"/>
    </row>
    <row r="14" spans="1:54" ht="15.5" x14ac:dyDescent="0.35">
      <c r="A14" s="49"/>
      <c r="B14" s="49"/>
      <c r="C14" s="49"/>
      <c r="D14" s="49"/>
      <c r="E14" s="50"/>
      <c r="F14" s="49"/>
      <c r="G14" s="80"/>
      <c r="H14" s="50"/>
      <c r="I14" s="49"/>
      <c r="J14" s="49"/>
      <c r="K14" s="50"/>
      <c r="L14" s="49"/>
      <c r="M14" s="49"/>
      <c r="N14" s="50"/>
      <c r="O14" s="20"/>
      <c r="P14" s="49"/>
      <c r="Q14" s="50"/>
      <c r="R14" s="49"/>
      <c r="S14" s="49"/>
      <c r="T14" s="49"/>
      <c r="U14" s="49"/>
      <c r="V14" s="49"/>
      <c r="W14" s="50"/>
      <c r="X14" s="49"/>
      <c r="Y14" s="20"/>
      <c r="Z14" s="20"/>
      <c r="AA14" s="20"/>
      <c r="AB14" s="49"/>
      <c r="AC14" s="49"/>
      <c r="AD14" s="49"/>
      <c r="AE14" s="49"/>
      <c r="AF14" s="49"/>
      <c r="AG14" s="49"/>
      <c r="AH14" s="49"/>
      <c r="AI14" s="49"/>
      <c r="AJ14" s="49"/>
      <c r="AK14" s="49"/>
      <c r="AL14" s="49"/>
      <c r="AM14" s="49"/>
      <c r="AN14" s="49"/>
      <c r="AO14" s="49"/>
      <c r="AP14" s="49"/>
      <c r="AQ14" s="49"/>
      <c r="AR14" s="49"/>
      <c r="AS14" s="49"/>
      <c r="AT14" s="49"/>
      <c r="AU14" s="49"/>
      <c r="AV14" s="49"/>
      <c r="AW14" s="49"/>
      <c r="AX14" s="49"/>
      <c r="AY14" s="49"/>
      <c r="AZ14" s="49"/>
      <c r="BA14" s="49"/>
      <c r="BB14" s="49"/>
    </row>
    <row r="15" spans="1:54" x14ac:dyDescent="0.35">
      <c r="A15" s="49"/>
      <c r="B15" s="49"/>
      <c r="C15" s="49"/>
      <c r="D15" s="49"/>
      <c r="E15" s="50"/>
      <c r="F15" s="49"/>
      <c r="G15" s="49"/>
      <c r="H15" s="50"/>
      <c r="I15" s="49"/>
      <c r="J15" s="49"/>
      <c r="K15" s="50"/>
      <c r="L15" s="49"/>
      <c r="M15" s="49"/>
      <c r="N15" s="50"/>
      <c r="O15" s="20"/>
      <c r="P15" s="49"/>
      <c r="Q15" s="50"/>
      <c r="R15" s="49"/>
      <c r="S15" s="71"/>
      <c r="T15" s="49"/>
      <c r="U15" s="49"/>
      <c r="V15" s="49"/>
      <c r="W15" s="50"/>
      <c r="X15" s="49"/>
      <c r="Y15" s="20"/>
      <c r="Z15" s="20"/>
      <c r="AA15" s="20"/>
      <c r="AB15" s="49"/>
      <c r="AC15" s="49"/>
      <c r="AD15" s="49"/>
      <c r="AE15" s="49"/>
      <c r="AF15" s="49"/>
      <c r="AG15" s="49"/>
      <c r="AH15" s="49"/>
      <c r="AI15" s="49"/>
      <c r="AJ15" s="49"/>
      <c r="AK15" s="49"/>
      <c r="AL15" s="49"/>
      <c r="AM15" s="49"/>
      <c r="AN15" s="49"/>
      <c r="AO15" s="49"/>
      <c r="AP15" s="49"/>
      <c r="AQ15" s="49"/>
      <c r="AR15" s="49"/>
      <c r="AS15" s="49"/>
      <c r="AT15" s="49"/>
      <c r="AU15" s="49"/>
      <c r="AV15" s="49"/>
      <c r="AW15" s="49"/>
      <c r="AX15" s="49"/>
      <c r="AY15" s="49"/>
      <c r="AZ15" s="49"/>
      <c r="BA15" s="49"/>
      <c r="BB15" s="49"/>
    </row>
    <row r="16" spans="1:54" ht="21" x14ac:dyDescent="0.5">
      <c r="A16" s="48" t="s">
        <v>199</v>
      </c>
      <c r="B16" s="49"/>
      <c r="C16" s="49"/>
      <c r="D16" s="49"/>
      <c r="E16" s="50"/>
      <c r="F16" s="49">
        <v>6</v>
      </c>
      <c r="G16" s="49">
        <v>7</v>
      </c>
      <c r="H16" s="49">
        <v>8</v>
      </c>
      <c r="I16" s="49">
        <v>9</v>
      </c>
      <c r="J16" s="49">
        <v>10</v>
      </c>
      <c r="K16" s="49">
        <v>11</v>
      </c>
      <c r="L16" s="49">
        <v>12</v>
      </c>
      <c r="M16" s="49">
        <v>13</v>
      </c>
      <c r="N16" s="49">
        <v>14</v>
      </c>
      <c r="O16" s="49">
        <v>15</v>
      </c>
      <c r="P16" s="49">
        <v>16</v>
      </c>
      <c r="Q16" s="49">
        <v>17</v>
      </c>
      <c r="R16" s="49">
        <v>18</v>
      </c>
      <c r="S16" s="49">
        <v>19</v>
      </c>
      <c r="T16" s="49">
        <v>20</v>
      </c>
      <c r="U16" s="49">
        <v>21</v>
      </c>
      <c r="V16" s="49">
        <v>22</v>
      </c>
      <c r="W16" s="49">
        <v>23</v>
      </c>
      <c r="X16" s="49">
        <v>24</v>
      </c>
      <c r="Y16" s="49">
        <v>25</v>
      </c>
      <c r="Z16" s="49">
        <v>26</v>
      </c>
      <c r="AA16" s="49">
        <v>27</v>
      </c>
      <c r="AB16" s="49">
        <v>28</v>
      </c>
      <c r="AC16" s="49">
        <v>29</v>
      </c>
      <c r="AD16" s="49">
        <v>30</v>
      </c>
      <c r="AE16" s="49">
        <v>31</v>
      </c>
      <c r="AF16" s="49">
        <v>32</v>
      </c>
      <c r="AG16" s="49">
        <v>33</v>
      </c>
      <c r="AH16" s="49">
        <v>34</v>
      </c>
      <c r="AI16" s="49">
        <v>35</v>
      </c>
      <c r="AJ16" s="49">
        <v>36</v>
      </c>
      <c r="AK16" s="49"/>
      <c r="AL16" s="49"/>
      <c r="AM16" s="49"/>
      <c r="AN16" s="49"/>
      <c r="AO16" s="49"/>
      <c r="AP16" s="49"/>
      <c r="AQ16" s="49"/>
      <c r="AR16" s="49"/>
      <c r="AS16" s="49"/>
      <c r="AT16" s="49"/>
      <c r="AU16" s="49"/>
      <c r="AV16" s="49"/>
      <c r="AW16" s="49"/>
      <c r="AX16" s="49"/>
      <c r="AY16" s="49"/>
      <c r="AZ16" s="49"/>
      <c r="BA16" s="49"/>
    </row>
    <row r="17" spans="1:53" x14ac:dyDescent="0.35">
      <c r="A17" s="51"/>
      <c r="B17" s="52"/>
      <c r="C17" s="52"/>
      <c r="D17" s="52"/>
      <c r="E17" s="53"/>
      <c r="F17" s="52"/>
      <c r="G17" s="52"/>
      <c r="H17" s="53"/>
      <c r="I17" s="52"/>
      <c r="J17" s="52"/>
      <c r="K17" s="53"/>
      <c r="L17" s="52"/>
      <c r="M17" s="52"/>
      <c r="N17" s="53"/>
      <c r="O17" s="52"/>
      <c r="P17" s="52"/>
      <c r="Q17" s="53"/>
      <c r="R17" s="52"/>
      <c r="S17" s="52"/>
      <c r="T17" s="53"/>
      <c r="U17" s="52"/>
      <c r="V17" s="52"/>
      <c r="W17" s="53"/>
      <c r="X17" s="52"/>
      <c r="Y17" s="52"/>
      <c r="Z17" s="52"/>
      <c r="AA17" s="52"/>
      <c r="AB17" s="52"/>
      <c r="AC17" s="53"/>
      <c r="AD17" s="49"/>
      <c r="AE17" s="49"/>
      <c r="AF17" s="49"/>
      <c r="AG17" s="49"/>
      <c r="AH17" s="49"/>
      <c r="AI17" s="49"/>
      <c r="AJ17" s="49"/>
      <c r="AK17" s="49"/>
      <c r="AL17" s="49"/>
      <c r="AM17" s="49"/>
      <c r="AN17" s="49"/>
      <c r="AO17" s="49"/>
      <c r="AP17" s="49"/>
      <c r="AQ17" s="49"/>
      <c r="AR17" s="49"/>
      <c r="AS17" s="49"/>
      <c r="AT17" s="49"/>
      <c r="AU17" s="49"/>
      <c r="AV17" s="49"/>
      <c r="AW17" s="49"/>
      <c r="AX17" s="49"/>
      <c r="AY17" s="49"/>
      <c r="AZ17" s="49"/>
      <c r="BA17" s="49"/>
    </row>
    <row r="18" spans="1:53" ht="15.5" x14ac:dyDescent="0.35">
      <c r="A18" s="54"/>
      <c r="B18" s="20"/>
      <c r="C18" s="55" t="s">
        <v>193</v>
      </c>
      <c r="D18" s="56" t="s">
        <v>160</v>
      </c>
      <c r="E18" s="57" t="s">
        <v>161</v>
      </c>
      <c r="F18" s="55" t="s">
        <v>277</v>
      </c>
      <c r="G18" s="55" t="s">
        <v>160</v>
      </c>
      <c r="H18" s="58" t="s">
        <v>161</v>
      </c>
      <c r="I18" s="59" t="s">
        <v>34</v>
      </c>
      <c r="J18" s="59" t="s">
        <v>160</v>
      </c>
      <c r="K18" s="59" t="s">
        <v>161</v>
      </c>
      <c r="L18" s="59" t="s">
        <v>189</v>
      </c>
      <c r="M18" s="59" t="s">
        <v>160</v>
      </c>
      <c r="N18" s="60" t="s">
        <v>161</v>
      </c>
      <c r="O18" s="59" t="s">
        <v>15</v>
      </c>
      <c r="P18" s="59" t="s">
        <v>160</v>
      </c>
      <c r="Q18" s="58" t="s">
        <v>161</v>
      </c>
      <c r="R18" s="59" t="s">
        <v>179</v>
      </c>
      <c r="S18" s="59" t="s">
        <v>160</v>
      </c>
      <c r="T18" s="58" t="s">
        <v>161</v>
      </c>
      <c r="U18" s="59" t="s">
        <v>13</v>
      </c>
      <c r="V18" s="59" t="s">
        <v>160</v>
      </c>
      <c r="W18" s="59" t="s">
        <v>161</v>
      </c>
      <c r="X18" s="59" t="s">
        <v>190</v>
      </c>
      <c r="Y18" s="59" t="s">
        <v>160</v>
      </c>
      <c r="Z18" s="58" t="s">
        <v>161</v>
      </c>
      <c r="AA18" s="59" t="s">
        <v>105</v>
      </c>
      <c r="AB18" s="59" t="s">
        <v>160</v>
      </c>
      <c r="AC18" s="58" t="s">
        <v>161</v>
      </c>
      <c r="AD18" s="61" t="s">
        <v>250</v>
      </c>
      <c r="AE18" s="61" t="s">
        <v>160</v>
      </c>
      <c r="AF18" s="61" t="s">
        <v>161</v>
      </c>
      <c r="AG18" s="62" t="s">
        <v>251</v>
      </c>
      <c r="AH18" s="61" t="s">
        <v>160</v>
      </c>
      <c r="AI18" s="61" t="s">
        <v>161</v>
      </c>
      <c r="AJ18" s="62" t="s">
        <v>251</v>
      </c>
      <c r="AK18" s="63" t="s">
        <v>317</v>
      </c>
      <c r="AL18" s="49"/>
      <c r="AM18" s="49"/>
      <c r="AN18" s="49"/>
      <c r="AO18" s="49">
        <f>1940*380</f>
        <v>737200</v>
      </c>
      <c r="AP18" s="49" t="s">
        <v>222</v>
      </c>
      <c r="AQ18" s="49" t="s">
        <v>318</v>
      </c>
      <c r="AR18" s="49">
        <f>0.17*AO18</f>
        <v>125324.00000000001</v>
      </c>
      <c r="AS18" s="49" t="s">
        <v>44</v>
      </c>
      <c r="AT18" s="49" t="s">
        <v>319</v>
      </c>
      <c r="AU18" s="49"/>
      <c r="AV18" s="49"/>
      <c r="AW18" s="49">
        <v>147450</v>
      </c>
      <c r="AX18" s="49" t="s">
        <v>222</v>
      </c>
      <c r="AY18" s="49" t="s">
        <v>318</v>
      </c>
      <c r="AZ18" s="71">
        <f>0.17*AW18</f>
        <v>25066.5</v>
      </c>
      <c r="BA18" s="49"/>
    </row>
    <row r="19" spans="1:53" ht="15.5" x14ac:dyDescent="0.35">
      <c r="A19" s="64" t="s">
        <v>272</v>
      </c>
      <c r="B19" s="65" t="s">
        <v>272</v>
      </c>
      <c r="C19" s="20"/>
      <c r="D19" s="20"/>
      <c r="E19" s="50"/>
      <c r="F19" s="20"/>
      <c r="G19" s="20"/>
      <c r="H19" s="50"/>
      <c r="I19" s="20"/>
      <c r="J19" s="20"/>
      <c r="K19" s="50"/>
      <c r="L19" s="20"/>
      <c r="M19" s="20"/>
      <c r="N19" s="50"/>
      <c r="O19" s="20"/>
      <c r="P19" s="20"/>
      <c r="Q19" s="50"/>
      <c r="R19" s="20"/>
      <c r="S19" s="20"/>
      <c r="T19" s="50"/>
      <c r="U19" s="20"/>
      <c r="V19" s="20"/>
      <c r="W19" s="50"/>
      <c r="X19" s="20"/>
      <c r="Y19" s="20"/>
      <c r="Z19" s="50"/>
      <c r="AA19" s="20"/>
      <c r="AB19" s="20"/>
      <c r="AC19" s="50"/>
      <c r="AD19" s="49"/>
      <c r="AE19" s="49"/>
      <c r="AF19" s="49"/>
      <c r="AG19" s="49"/>
      <c r="AH19" s="49"/>
      <c r="AI19" s="49"/>
      <c r="AJ19" s="49"/>
      <c r="AK19" s="49"/>
      <c r="AL19" s="66" t="s">
        <v>272</v>
      </c>
      <c r="AM19" s="65" t="s">
        <v>272</v>
      </c>
      <c r="AN19" s="49" t="s">
        <v>272</v>
      </c>
      <c r="AO19" s="49"/>
      <c r="AP19" s="49"/>
      <c r="AQ19" s="49"/>
      <c r="AR19" s="49"/>
      <c r="AS19" s="49"/>
      <c r="AT19" s="49"/>
      <c r="AU19" s="49"/>
      <c r="AV19" s="49"/>
      <c r="AW19" s="49"/>
      <c r="AX19" s="49"/>
      <c r="AY19" s="49"/>
      <c r="AZ19" s="49"/>
      <c r="BA19" s="49"/>
    </row>
    <row r="20" spans="1:53" ht="15.5" x14ac:dyDescent="0.35">
      <c r="A20" s="67" t="s">
        <v>184</v>
      </c>
      <c r="B20" s="61" t="s">
        <v>172</v>
      </c>
      <c r="C20" s="20"/>
      <c r="D20" s="68">
        <v>19426.367999999999</v>
      </c>
      <c r="E20" s="50">
        <v>0</v>
      </c>
      <c r="F20" s="20">
        <v>165</v>
      </c>
      <c r="G20" s="20">
        <v>15510</v>
      </c>
      <c r="H20" s="50">
        <v>124080</v>
      </c>
      <c r="I20" s="20"/>
      <c r="J20" s="68">
        <v>7814.1</v>
      </c>
      <c r="K20" s="69">
        <v>27907.5</v>
      </c>
      <c r="L20" s="20"/>
      <c r="M20" s="68">
        <v>11291.1</v>
      </c>
      <c r="N20" s="70">
        <v>0</v>
      </c>
      <c r="O20" s="20"/>
      <c r="P20" s="68">
        <v>11291.1</v>
      </c>
      <c r="Q20" s="20">
        <v>0</v>
      </c>
      <c r="R20" s="20"/>
      <c r="S20" s="68">
        <v>16378.56</v>
      </c>
      <c r="T20" s="69">
        <v>72793.600000000006</v>
      </c>
      <c r="U20" s="20"/>
      <c r="V20" s="20">
        <v>0</v>
      </c>
      <c r="W20" s="50">
        <v>0</v>
      </c>
      <c r="X20" s="20"/>
      <c r="Y20" s="68">
        <f>$AZ$18</f>
        <v>25066.5</v>
      </c>
      <c r="Z20" s="50">
        <v>0</v>
      </c>
      <c r="AA20" s="20"/>
      <c r="AB20" s="20"/>
      <c r="AC20" s="50"/>
      <c r="AD20" s="49"/>
      <c r="AE20" s="71">
        <f>D20+G20+J20+M20+P20+S20+T20+V20+Y20</f>
        <v>179571.32800000001</v>
      </c>
      <c r="AF20" s="71">
        <f>E20+H20+K20+N20+Q20+T20+W20+Z20</f>
        <v>224781.1</v>
      </c>
      <c r="AG20" s="71">
        <f>AE20-AF20</f>
        <v>-45209.771999999997</v>
      </c>
      <c r="AH20" s="72">
        <f>AE20/1000</f>
        <v>179.57132800000002</v>
      </c>
      <c r="AI20" s="72">
        <f>AF20/1000</f>
        <v>224.78110000000001</v>
      </c>
      <c r="AJ20" s="72">
        <f>AH20-AI20</f>
        <v>-45.209771999999987</v>
      </c>
      <c r="AK20" s="49"/>
      <c r="AL20" s="54" t="s">
        <v>184</v>
      </c>
      <c r="AM20" s="20" t="s">
        <v>172</v>
      </c>
      <c r="AN20" s="49" t="s">
        <v>298</v>
      </c>
      <c r="AO20" s="49"/>
      <c r="AP20" s="49"/>
      <c r="AQ20" s="49"/>
      <c r="AR20" s="49"/>
      <c r="AS20" s="49"/>
      <c r="AT20" s="49"/>
      <c r="AU20" s="49"/>
      <c r="AV20" s="49"/>
      <c r="AW20" s="49"/>
      <c r="AX20" s="49"/>
      <c r="AY20" s="49"/>
      <c r="AZ20" s="49"/>
      <c r="BA20" s="49"/>
    </row>
    <row r="21" spans="1:53" ht="15.5" x14ac:dyDescent="0.35">
      <c r="A21" s="67" t="s">
        <v>185</v>
      </c>
      <c r="B21" s="61" t="s">
        <v>174</v>
      </c>
      <c r="C21" s="20"/>
      <c r="D21" s="68">
        <v>19426.367999999999</v>
      </c>
      <c r="E21" s="50">
        <v>0</v>
      </c>
      <c r="F21" s="20">
        <v>387.1</v>
      </c>
      <c r="G21" s="68">
        <v>36387.4</v>
      </c>
      <c r="H21" s="69">
        <v>291099.2</v>
      </c>
      <c r="I21" s="20"/>
      <c r="J21" s="20"/>
      <c r="K21" s="20">
        <v>0</v>
      </c>
      <c r="L21" s="20"/>
      <c r="M21" s="20"/>
      <c r="N21" s="50"/>
      <c r="O21" s="20"/>
      <c r="P21" s="20">
        <v>9408.0000000000018</v>
      </c>
      <c r="Q21" s="50">
        <v>0</v>
      </c>
      <c r="R21" s="20"/>
      <c r="S21" s="20">
        <v>0</v>
      </c>
      <c r="T21" s="50">
        <v>0</v>
      </c>
      <c r="U21" s="20"/>
      <c r="V21" s="20">
        <v>4050</v>
      </c>
      <c r="W21" s="50">
        <v>0</v>
      </c>
      <c r="X21" s="20"/>
      <c r="Y21" s="68">
        <f t="shared" ref="Y21:Y22" si="5">$AZ$18</f>
        <v>25066.5</v>
      </c>
      <c r="Z21" s="50">
        <v>0</v>
      </c>
      <c r="AA21" s="20"/>
      <c r="AB21" s="20"/>
      <c r="AC21" s="50"/>
      <c r="AD21" s="49"/>
      <c r="AE21" s="71">
        <f t="shared" ref="AE21:AE23" si="6">D21+G21+J21+M21+P21+S21+T21+V21+Y21</f>
        <v>94338.267999999996</v>
      </c>
      <c r="AF21" s="71">
        <f t="shared" ref="AF21:AF23" si="7">E21+H21+K21+N21+Q21+T21+W21+Z21</f>
        <v>291099.2</v>
      </c>
      <c r="AG21" s="71">
        <f t="shared" ref="AG21:AG23" si="8">AE21-AF21</f>
        <v>-196760.93200000003</v>
      </c>
      <c r="AH21" s="72">
        <f t="shared" ref="AH21:AH23" si="9">AE21/1000</f>
        <v>94.338267999999999</v>
      </c>
      <c r="AI21" s="72">
        <f t="shared" ref="AI21:AI23" si="10">AF21/1000</f>
        <v>291.0992</v>
      </c>
      <c r="AJ21" s="72">
        <f t="shared" ref="AJ21:AJ23" si="11">AH21-AI21</f>
        <v>-196.760932</v>
      </c>
      <c r="AK21" s="49"/>
      <c r="AL21" s="54" t="s">
        <v>185</v>
      </c>
      <c r="AM21" s="20" t="s">
        <v>174</v>
      </c>
      <c r="AN21" s="49" t="s">
        <v>297</v>
      </c>
      <c r="AO21" s="49"/>
      <c r="AP21" s="49"/>
      <c r="AQ21" s="49"/>
      <c r="AR21" s="49"/>
      <c r="AS21" s="49"/>
      <c r="AT21" s="49"/>
      <c r="AU21" s="49"/>
      <c r="AV21" s="49"/>
      <c r="AW21" s="49"/>
      <c r="AX21" s="49"/>
      <c r="AY21" s="49"/>
      <c r="AZ21" s="49"/>
      <c r="BA21" s="49"/>
    </row>
    <row r="22" spans="1:53" ht="15.5" x14ac:dyDescent="0.35">
      <c r="A22" s="67" t="s">
        <v>186</v>
      </c>
      <c r="B22" s="61" t="s">
        <v>179</v>
      </c>
      <c r="C22" s="20"/>
      <c r="D22" s="68">
        <v>21622.5</v>
      </c>
      <c r="E22" s="50">
        <v>0</v>
      </c>
      <c r="F22" s="20">
        <v>114</v>
      </c>
      <c r="G22" s="20">
        <v>0</v>
      </c>
      <c r="H22" s="50">
        <v>0</v>
      </c>
      <c r="I22" s="20"/>
      <c r="J22" s="68">
        <v>7360.32</v>
      </c>
      <c r="K22" s="69">
        <v>28723.200000000001</v>
      </c>
      <c r="L22" s="20"/>
      <c r="M22" s="68">
        <v>20239.8</v>
      </c>
      <c r="N22" s="50">
        <v>0</v>
      </c>
      <c r="O22" s="20"/>
      <c r="P22" s="68">
        <v>11539.500000000002</v>
      </c>
      <c r="Q22" s="50">
        <v>0</v>
      </c>
      <c r="R22" s="20"/>
      <c r="S22" s="68">
        <v>19452.96</v>
      </c>
      <c r="T22" s="69">
        <v>86457.600000000006</v>
      </c>
      <c r="U22" s="20"/>
      <c r="V22" s="20">
        <v>0</v>
      </c>
      <c r="W22" s="50">
        <v>0</v>
      </c>
      <c r="X22" s="20"/>
      <c r="Y22" s="68">
        <f t="shared" si="5"/>
        <v>25066.5</v>
      </c>
      <c r="Z22" s="50">
        <v>0</v>
      </c>
      <c r="AA22" s="20"/>
      <c r="AB22" s="20"/>
      <c r="AC22" s="50"/>
      <c r="AD22" s="49"/>
      <c r="AE22" s="71">
        <f t="shared" si="6"/>
        <v>191739.18</v>
      </c>
      <c r="AF22" s="71">
        <f t="shared" si="7"/>
        <v>115180.8</v>
      </c>
      <c r="AG22" s="71">
        <f t="shared" si="8"/>
        <v>76558.37999999999</v>
      </c>
      <c r="AH22" s="72">
        <f t="shared" si="9"/>
        <v>191.73918</v>
      </c>
      <c r="AI22" s="72">
        <f t="shared" si="10"/>
        <v>115.1808</v>
      </c>
      <c r="AJ22" s="72">
        <f t="shared" si="11"/>
        <v>76.55838</v>
      </c>
      <c r="AK22" s="49"/>
      <c r="AL22" s="54" t="s">
        <v>186</v>
      </c>
      <c r="AM22" s="20" t="s">
        <v>179</v>
      </c>
      <c r="AN22" s="49" t="s">
        <v>299</v>
      </c>
      <c r="AO22" s="49"/>
      <c r="AP22" s="49"/>
      <c r="AQ22" s="49"/>
      <c r="AR22" s="49"/>
      <c r="AS22" s="49"/>
      <c r="AT22" s="49"/>
      <c r="AU22" s="49"/>
      <c r="AV22" s="49"/>
      <c r="AW22" s="49"/>
      <c r="AX22" s="49"/>
      <c r="AY22" s="49"/>
      <c r="AZ22" s="49"/>
      <c r="BA22" s="49"/>
    </row>
    <row r="23" spans="1:53" ht="15.5" x14ac:dyDescent="0.35">
      <c r="A23" s="73" t="s">
        <v>187</v>
      </c>
      <c r="B23" s="74" t="s">
        <v>180</v>
      </c>
      <c r="C23" s="75"/>
      <c r="D23" s="76">
        <v>26259.48</v>
      </c>
      <c r="E23" s="77">
        <v>0</v>
      </c>
      <c r="F23" s="75">
        <v>0</v>
      </c>
      <c r="G23" s="75">
        <v>0</v>
      </c>
      <c r="H23" s="38">
        <v>0</v>
      </c>
      <c r="I23" s="75"/>
      <c r="J23" s="75"/>
      <c r="K23" s="77">
        <v>0</v>
      </c>
      <c r="L23" s="75"/>
      <c r="M23" s="76">
        <v>4986.75</v>
      </c>
      <c r="N23" s="75">
        <v>0</v>
      </c>
      <c r="O23" s="75"/>
      <c r="P23" s="75">
        <v>0</v>
      </c>
      <c r="Q23" s="77">
        <v>0</v>
      </c>
      <c r="R23" s="75"/>
      <c r="S23" s="75">
        <v>0</v>
      </c>
      <c r="T23" s="77">
        <v>0</v>
      </c>
      <c r="U23" s="75"/>
      <c r="V23" s="75">
        <v>0</v>
      </c>
      <c r="W23" s="77">
        <v>0</v>
      </c>
      <c r="X23" s="75"/>
      <c r="Y23" s="68">
        <f>$AR$18</f>
        <v>125324.00000000001</v>
      </c>
      <c r="Z23" s="77">
        <v>0</v>
      </c>
      <c r="AA23" s="75"/>
      <c r="AB23" s="75"/>
      <c r="AC23" s="77"/>
      <c r="AD23" s="49"/>
      <c r="AE23" s="71">
        <f t="shared" si="6"/>
        <v>156570.23000000001</v>
      </c>
      <c r="AF23" s="71">
        <f t="shared" si="7"/>
        <v>0</v>
      </c>
      <c r="AG23" s="71">
        <f t="shared" si="8"/>
        <v>156570.23000000001</v>
      </c>
      <c r="AH23" s="72">
        <f t="shared" si="9"/>
        <v>156.57023000000001</v>
      </c>
      <c r="AI23" s="72">
        <f t="shared" si="10"/>
        <v>0</v>
      </c>
      <c r="AJ23" s="72">
        <f t="shared" si="11"/>
        <v>156.57023000000001</v>
      </c>
      <c r="AK23" s="49"/>
      <c r="AL23" s="78" t="s">
        <v>187</v>
      </c>
      <c r="AM23" s="75" t="s">
        <v>180</v>
      </c>
      <c r="AN23" s="49" t="s">
        <v>300</v>
      </c>
      <c r="AO23" s="49"/>
      <c r="AP23" s="49"/>
      <c r="AQ23" s="49"/>
      <c r="AR23" s="49"/>
      <c r="AS23" s="49"/>
    </row>
    <row r="24" spans="1:53" x14ac:dyDescent="0.35">
      <c r="A24" s="49"/>
      <c r="B24" s="49"/>
      <c r="C24" s="49"/>
      <c r="D24" s="49"/>
      <c r="E24" s="50"/>
      <c r="F24" s="49"/>
      <c r="G24" s="49"/>
      <c r="H24" s="50"/>
      <c r="I24" s="49"/>
      <c r="J24" s="49"/>
      <c r="K24" s="50"/>
      <c r="L24" s="49"/>
      <c r="M24" s="49"/>
      <c r="N24" s="49"/>
      <c r="O24" s="49"/>
      <c r="P24" s="49"/>
      <c r="Q24" s="49"/>
      <c r="R24" s="49"/>
      <c r="S24" s="49"/>
      <c r="T24" s="50"/>
      <c r="U24" s="49"/>
      <c r="V24" s="49"/>
      <c r="W24" s="50"/>
      <c r="X24" s="49"/>
      <c r="Y24" s="20"/>
      <c r="Z24" s="20"/>
      <c r="AA24" s="20"/>
      <c r="AB24" s="49"/>
      <c r="AC24" s="49"/>
      <c r="AD24" s="49"/>
      <c r="AE24" s="49"/>
      <c r="AF24" s="49"/>
      <c r="AG24" s="49"/>
      <c r="AH24" s="49"/>
      <c r="AI24" s="49"/>
      <c r="AJ24" s="49"/>
      <c r="AK24" s="49"/>
      <c r="AL24" s="49"/>
      <c r="AM24" s="49"/>
      <c r="AN24" s="49"/>
      <c r="AO24" s="49"/>
      <c r="AP24" s="49"/>
      <c r="AQ24" s="49"/>
      <c r="AR24" s="49"/>
      <c r="AS24" s="49"/>
    </row>
    <row r="25" spans="1:53" ht="21" x14ac:dyDescent="0.5">
      <c r="A25" s="79" t="s">
        <v>200</v>
      </c>
      <c r="B25" s="49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49"/>
      <c r="AB25" s="49"/>
      <c r="AC25" s="49"/>
      <c r="AD25" s="49"/>
      <c r="AE25" s="49"/>
      <c r="AF25" s="49"/>
      <c r="AG25" s="49"/>
      <c r="AH25" s="49"/>
      <c r="AI25" s="49"/>
      <c r="AJ25" s="49"/>
      <c r="AK25" s="49"/>
      <c r="AL25" s="49"/>
      <c r="AM25" s="49"/>
      <c r="AN25" s="49"/>
      <c r="AO25" s="49"/>
      <c r="AP25" s="49"/>
      <c r="AQ25" s="49"/>
      <c r="AR25" s="49"/>
      <c r="AS25" s="49"/>
    </row>
    <row r="26" spans="1:53" ht="15.5" x14ac:dyDescent="0.35">
      <c r="A26" s="49"/>
      <c r="B26" s="49"/>
      <c r="C26" s="55" t="s">
        <v>281</v>
      </c>
      <c r="D26" s="55" t="s">
        <v>160</v>
      </c>
      <c r="E26" s="58" t="s">
        <v>161</v>
      </c>
      <c r="F26" s="59" t="s">
        <v>189</v>
      </c>
      <c r="G26" s="59" t="s">
        <v>160</v>
      </c>
      <c r="H26" s="60" t="s">
        <v>161</v>
      </c>
      <c r="I26" s="59" t="s">
        <v>15</v>
      </c>
      <c r="J26" s="59" t="s">
        <v>160</v>
      </c>
      <c r="K26" s="58" t="s">
        <v>161</v>
      </c>
      <c r="L26" s="59" t="s">
        <v>179</v>
      </c>
      <c r="M26" s="59" t="s">
        <v>160</v>
      </c>
      <c r="N26" s="58" t="s">
        <v>161</v>
      </c>
      <c r="O26" s="55" t="s">
        <v>193</v>
      </c>
      <c r="P26" s="56" t="s">
        <v>160</v>
      </c>
      <c r="Q26" s="57" t="s">
        <v>161</v>
      </c>
      <c r="R26" s="61" t="s">
        <v>250</v>
      </c>
      <c r="S26" s="61" t="s">
        <v>160</v>
      </c>
      <c r="T26" s="61" t="s">
        <v>161</v>
      </c>
      <c r="U26" s="62" t="s">
        <v>251</v>
      </c>
      <c r="V26" s="61" t="s">
        <v>160</v>
      </c>
      <c r="W26" s="61" t="s">
        <v>161</v>
      </c>
      <c r="X26" s="62" t="s">
        <v>251</v>
      </c>
      <c r="Y26" s="49"/>
      <c r="Z26" s="49"/>
      <c r="AA26" s="49"/>
      <c r="AB26" s="49"/>
      <c r="AC26" s="49"/>
      <c r="AD26" s="49"/>
      <c r="AE26" s="49"/>
      <c r="AF26" s="49"/>
      <c r="AG26" s="49"/>
      <c r="AH26" s="49"/>
      <c r="AI26" s="49"/>
      <c r="AJ26" s="49"/>
      <c r="AK26" s="49"/>
      <c r="AL26" s="49"/>
      <c r="AM26" s="49"/>
      <c r="AN26" s="49"/>
      <c r="AO26" s="49"/>
      <c r="AP26" s="49"/>
      <c r="AQ26" s="49"/>
      <c r="AR26" s="49"/>
      <c r="AS26" s="49"/>
    </row>
    <row r="27" spans="1:53" ht="15.5" x14ac:dyDescent="0.35">
      <c r="A27" s="64" t="s">
        <v>272</v>
      </c>
      <c r="B27" s="65" t="s">
        <v>272</v>
      </c>
      <c r="C27" s="49"/>
      <c r="D27" s="49"/>
      <c r="E27" s="50"/>
      <c r="F27" s="49"/>
      <c r="G27" s="49"/>
      <c r="H27" s="50"/>
      <c r="I27" s="49"/>
      <c r="J27" s="49"/>
      <c r="K27" s="50"/>
      <c r="L27" s="49"/>
      <c r="M27" s="49"/>
      <c r="N27" s="50"/>
      <c r="O27" s="49"/>
      <c r="P27" s="49"/>
      <c r="Q27" s="50"/>
      <c r="R27" s="49"/>
      <c r="S27" s="49"/>
      <c r="T27" s="49"/>
      <c r="U27" s="49"/>
      <c r="V27" s="49"/>
      <c r="W27" s="49"/>
      <c r="X27" s="49"/>
      <c r="Y27" s="49"/>
      <c r="Z27" s="66" t="s">
        <v>272</v>
      </c>
      <c r="AA27" s="65" t="s">
        <v>272</v>
      </c>
      <c r="AB27" s="49" t="s">
        <v>272</v>
      </c>
      <c r="AC27" s="49"/>
      <c r="AD27" s="49"/>
      <c r="AE27" s="49"/>
      <c r="AF27" s="49"/>
      <c r="AG27" s="49"/>
      <c r="AH27" s="49"/>
      <c r="AI27" s="49"/>
      <c r="AJ27" s="49"/>
      <c r="AK27" s="49"/>
      <c r="AL27" s="49"/>
      <c r="AM27" s="49"/>
      <c r="AN27" s="49"/>
      <c r="AO27" s="49"/>
      <c r="AP27" s="49"/>
      <c r="AQ27" s="49"/>
      <c r="AR27" s="49"/>
      <c r="AS27" s="49"/>
    </row>
    <row r="28" spans="1:53" ht="15.5" x14ac:dyDescent="0.35">
      <c r="A28" s="67" t="s">
        <v>321</v>
      </c>
      <c r="B28" s="61" t="s">
        <v>172</v>
      </c>
      <c r="C28" s="49">
        <v>34.6</v>
      </c>
      <c r="D28" s="71">
        <v>3252.4</v>
      </c>
      <c r="E28" s="69">
        <v>26019.200000000001</v>
      </c>
      <c r="F28" s="49">
        <v>450</v>
      </c>
      <c r="G28" s="71">
        <v>9637.65</v>
      </c>
      <c r="H28" s="50">
        <v>0</v>
      </c>
      <c r="I28" s="49"/>
      <c r="J28" s="49">
        <v>0</v>
      </c>
      <c r="K28" s="50">
        <v>0</v>
      </c>
      <c r="L28" s="49"/>
      <c r="M28" s="49">
        <v>0</v>
      </c>
      <c r="N28" s="50">
        <v>0</v>
      </c>
      <c r="O28" s="49"/>
      <c r="P28" s="49">
        <v>0</v>
      </c>
      <c r="Q28" s="50">
        <v>0</v>
      </c>
      <c r="R28" s="49"/>
      <c r="S28" s="71">
        <f>D28+G28+J28+M28+P28</f>
        <v>12890.05</v>
      </c>
      <c r="T28" s="71">
        <f>E28+H28+K28+N28+Q28</f>
        <v>26019.200000000001</v>
      </c>
      <c r="U28" s="71">
        <f>S28-T28</f>
        <v>-13129.150000000001</v>
      </c>
      <c r="V28" s="72">
        <f>S28/1000</f>
        <v>12.890049999999999</v>
      </c>
      <c r="W28" s="72">
        <f>T28/1000</f>
        <v>26.019200000000001</v>
      </c>
      <c r="X28" s="72">
        <f>V28-W28</f>
        <v>-13.129150000000003</v>
      </c>
      <c r="Y28" s="49"/>
      <c r="Z28" s="67" t="s">
        <v>321</v>
      </c>
      <c r="AA28" s="20" t="s">
        <v>172</v>
      </c>
      <c r="AB28" s="49" t="s">
        <v>301</v>
      </c>
      <c r="AC28" s="49"/>
      <c r="AD28" s="49"/>
      <c r="AE28" s="49"/>
      <c r="AF28" s="49"/>
      <c r="AG28" s="49"/>
      <c r="AH28" s="49"/>
      <c r="AI28" s="49"/>
      <c r="AJ28" s="49"/>
      <c r="AK28" s="49"/>
      <c r="AL28" s="49"/>
      <c r="AM28" s="49"/>
      <c r="AN28" s="49"/>
      <c r="AO28" s="49"/>
      <c r="AP28" s="49"/>
      <c r="AQ28" s="49"/>
      <c r="AR28" s="49"/>
      <c r="AS28" s="49"/>
    </row>
    <row r="29" spans="1:53" ht="15.5" x14ac:dyDescent="0.35">
      <c r="A29" s="67" t="s">
        <v>322</v>
      </c>
      <c r="B29" s="61" t="s">
        <v>174</v>
      </c>
      <c r="C29" s="49">
        <v>86.5</v>
      </c>
      <c r="D29" s="49">
        <v>8131</v>
      </c>
      <c r="E29" s="50">
        <v>65048</v>
      </c>
      <c r="F29" s="49"/>
      <c r="G29" s="71">
        <v>8563.5</v>
      </c>
      <c r="H29" s="50">
        <v>0</v>
      </c>
      <c r="I29" s="49"/>
      <c r="J29" s="49">
        <v>0</v>
      </c>
      <c r="K29" s="50">
        <v>0</v>
      </c>
      <c r="L29" s="49"/>
      <c r="M29" s="49">
        <v>0</v>
      </c>
      <c r="N29" s="50">
        <v>0</v>
      </c>
      <c r="O29" s="49"/>
      <c r="P29" s="49">
        <v>0</v>
      </c>
      <c r="Q29" s="50"/>
      <c r="R29" s="49"/>
      <c r="S29" s="71">
        <f t="shared" ref="S29:S31" si="12">D29+G29+J29+M29+P29</f>
        <v>16694.5</v>
      </c>
      <c r="T29" s="71">
        <f t="shared" ref="T29:T31" si="13">E29+H29+K29+N29+Q29</f>
        <v>65048</v>
      </c>
      <c r="U29" s="71">
        <f t="shared" ref="U29:U31" si="14">S29-T29</f>
        <v>-48353.5</v>
      </c>
      <c r="V29" s="72">
        <f t="shared" ref="V29:V31" si="15">S29/1000</f>
        <v>16.694500000000001</v>
      </c>
      <c r="W29" s="72">
        <f t="shared" ref="W29:W31" si="16">T29/1000</f>
        <v>65.048000000000002</v>
      </c>
      <c r="X29" s="72">
        <f t="shared" ref="X29:X31" si="17">V29-W29</f>
        <v>-48.353499999999997</v>
      </c>
      <c r="Y29" s="49"/>
      <c r="Z29" s="67" t="s">
        <v>322</v>
      </c>
      <c r="AA29" s="20" t="s">
        <v>174</v>
      </c>
      <c r="AB29" s="49" t="s">
        <v>302</v>
      </c>
      <c r="AC29" s="49"/>
      <c r="AD29" s="49"/>
      <c r="AE29" s="49"/>
      <c r="AF29" s="49"/>
      <c r="AG29" s="49"/>
      <c r="AH29" s="49"/>
      <c r="AI29" s="49"/>
      <c r="AJ29" s="49"/>
      <c r="AK29" s="49"/>
      <c r="AL29" s="49"/>
      <c r="AM29" s="49"/>
      <c r="AN29" s="49"/>
      <c r="AO29" s="49"/>
      <c r="AP29" s="49"/>
      <c r="AQ29" s="49"/>
      <c r="AR29" s="49"/>
      <c r="AS29" s="49"/>
    </row>
    <row r="30" spans="1:53" ht="15.5" x14ac:dyDescent="0.35">
      <c r="A30" s="67" t="s">
        <v>323</v>
      </c>
      <c r="B30" s="80" t="s">
        <v>179</v>
      </c>
      <c r="C30" s="49">
        <v>10.8</v>
      </c>
      <c r="D30" s="49">
        <v>0</v>
      </c>
      <c r="E30" s="50">
        <v>0</v>
      </c>
      <c r="F30" s="49"/>
      <c r="G30" s="71">
        <v>9281.25</v>
      </c>
      <c r="H30" s="50">
        <v>0</v>
      </c>
      <c r="I30" s="49"/>
      <c r="J30" s="49">
        <v>1372.0000000000002</v>
      </c>
      <c r="K30" s="50">
        <v>0</v>
      </c>
      <c r="L30" s="49" t="s">
        <v>201</v>
      </c>
      <c r="M30" s="71">
        <v>1842.9120000000003</v>
      </c>
      <c r="N30" s="69">
        <v>8190.7200000000012</v>
      </c>
      <c r="O30" s="49"/>
      <c r="P30" s="49">
        <v>0</v>
      </c>
      <c r="Q30" s="50"/>
      <c r="R30" s="49"/>
      <c r="S30" s="71">
        <f t="shared" si="12"/>
        <v>12496.162</v>
      </c>
      <c r="T30" s="71">
        <f t="shared" si="13"/>
        <v>8190.7200000000012</v>
      </c>
      <c r="U30" s="71">
        <f t="shared" si="14"/>
        <v>4305.4419999999991</v>
      </c>
      <c r="V30" s="72">
        <f t="shared" si="15"/>
        <v>12.496162</v>
      </c>
      <c r="W30" s="72">
        <f t="shared" si="16"/>
        <v>8.1907200000000007</v>
      </c>
      <c r="X30" s="72">
        <f t="shared" si="17"/>
        <v>4.3054419999999993</v>
      </c>
      <c r="Y30" s="49"/>
      <c r="Z30" s="67" t="s">
        <v>323</v>
      </c>
      <c r="AA30" s="49" t="s">
        <v>179</v>
      </c>
      <c r="AB30" s="49" t="s">
        <v>303</v>
      </c>
      <c r="AC30" s="49"/>
      <c r="AD30" s="49"/>
      <c r="AE30" s="49"/>
      <c r="AF30" s="49"/>
      <c r="AG30" s="49"/>
      <c r="AH30" s="49"/>
      <c r="AI30" s="49"/>
      <c r="AJ30" s="49"/>
      <c r="AK30" s="49"/>
      <c r="AL30" s="49"/>
      <c r="AM30" s="49"/>
      <c r="AN30" s="49"/>
      <c r="AO30" s="49"/>
      <c r="AP30" s="49"/>
      <c r="AQ30" s="49"/>
      <c r="AR30" s="49"/>
      <c r="AS30" s="49"/>
    </row>
    <row r="31" spans="1:53" ht="15.5" x14ac:dyDescent="0.35">
      <c r="A31" s="67" t="s">
        <v>324</v>
      </c>
      <c r="B31" s="80" t="s">
        <v>180</v>
      </c>
      <c r="C31" s="49">
        <v>0</v>
      </c>
      <c r="D31" s="49">
        <v>0</v>
      </c>
      <c r="E31" s="34">
        <v>0</v>
      </c>
      <c r="F31" s="49">
        <v>450</v>
      </c>
      <c r="G31" s="71">
        <v>9637.65</v>
      </c>
      <c r="H31" s="50">
        <v>0</v>
      </c>
      <c r="I31" s="49"/>
      <c r="J31" s="49">
        <v>0</v>
      </c>
      <c r="K31" s="34">
        <v>0</v>
      </c>
      <c r="L31" s="49"/>
      <c r="M31" s="49">
        <v>0</v>
      </c>
      <c r="N31" s="34">
        <v>0</v>
      </c>
      <c r="O31" s="49"/>
      <c r="P31" s="71">
        <v>7584.9920000000002</v>
      </c>
      <c r="Q31" s="50">
        <v>0</v>
      </c>
      <c r="R31" s="49"/>
      <c r="S31" s="71">
        <f t="shared" si="12"/>
        <v>17222.642</v>
      </c>
      <c r="T31" s="71">
        <f t="shared" si="13"/>
        <v>0</v>
      </c>
      <c r="U31" s="71">
        <f t="shared" si="14"/>
        <v>17222.642</v>
      </c>
      <c r="V31" s="72">
        <f t="shared" si="15"/>
        <v>17.222642</v>
      </c>
      <c r="W31" s="72">
        <f t="shared" si="16"/>
        <v>0</v>
      </c>
      <c r="X31" s="72">
        <f t="shared" si="17"/>
        <v>17.222642</v>
      </c>
      <c r="Y31" s="49"/>
      <c r="Z31" s="67" t="s">
        <v>324</v>
      </c>
      <c r="AA31" s="49" t="s">
        <v>180</v>
      </c>
      <c r="AB31" s="49" t="s">
        <v>304</v>
      </c>
      <c r="AC31" s="49"/>
      <c r="AD31" s="49"/>
      <c r="AE31" s="49"/>
      <c r="AF31" s="49"/>
      <c r="AG31" s="49"/>
      <c r="AH31" s="49"/>
      <c r="AI31" s="49"/>
      <c r="AJ31" s="49"/>
      <c r="AK31" s="49"/>
      <c r="AL31" s="49"/>
      <c r="AM31" s="49"/>
      <c r="AN31" s="49"/>
      <c r="AO31" s="49"/>
      <c r="AP31" s="49"/>
      <c r="AQ31" s="49"/>
      <c r="AR31" s="49"/>
      <c r="AS31" s="49"/>
    </row>
    <row r="32" spans="1:53" x14ac:dyDescent="0.35">
      <c r="A32" s="49"/>
      <c r="B32" s="49"/>
      <c r="C32" s="49"/>
      <c r="D32" s="49"/>
      <c r="E32" s="50"/>
      <c r="F32" s="49"/>
      <c r="G32" s="49"/>
      <c r="H32" s="50"/>
      <c r="I32" s="49"/>
      <c r="J32" s="49"/>
      <c r="K32" s="50"/>
      <c r="L32" s="49"/>
      <c r="M32" s="49"/>
      <c r="N32" s="50"/>
      <c r="O32" s="49"/>
      <c r="P32" s="49"/>
      <c r="Q32" s="50"/>
      <c r="R32" s="49"/>
      <c r="S32" s="49"/>
      <c r="T32" s="49"/>
      <c r="U32" s="49"/>
      <c r="V32" s="49"/>
      <c r="W32" s="49"/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49"/>
      <c r="AL32" s="49"/>
      <c r="AM32" s="49"/>
      <c r="AN32" s="49"/>
      <c r="AO32" s="49"/>
      <c r="AP32" s="49"/>
      <c r="AQ32" s="49"/>
      <c r="AR32" s="49"/>
      <c r="AS32" s="49"/>
    </row>
    <row r="33" spans="1:45" x14ac:dyDescent="0.35">
      <c r="A33" s="49">
        <v>1</v>
      </c>
      <c r="B33" s="49">
        <v>2</v>
      </c>
      <c r="C33" s="49">
        <v>3</v>
      </c>
      <c r="D33" s="49">
        <v>4</v>
      </c>
      <c r="E33" s="49">
        <v>5</v>
      </c>
      <c r="F33" s="49">
        <v>6</v>
      </c>
      <c r="G33" s="49">
        <v>7</v>
      </c>
      <c r="H33" s="49">
        <v>8</v>
      </c>
      <c r="I33" s="49">
        <v>9</v>
      </c>
      <c r="J33" s="49">
        <v>10</v>
      </c>
      <c r="K33" s="49">
        <v>11</v>
      </c>
      <c r="L33" s="49">
        <v>12</v>
      </c>
      <c r="M33" s="49">
        <v>13</v>
      </c>
      <c r="N33" s="49">
        <v>14</v>
      </c>
      <c r="O33" s="49">
        <v>15</v>
      </c>
      <c r="P33" s="49">
        <v>16</v>
      </c>
      <c r="Q33" s="49">
        <v>17</v>
      </c>
      <c r="R33" s="49">
        <v>18</v>
      </c>
      <c r="S33" s="49">
        <v>19</v>
      </c>
      <c r="T33" s="49">
        <v>20</v>
      </c>
      <c r="U33" s="49">
        <v>21</v>
      </c>
      <c r="V33" s="49">
        <v>22</v>
      </c>
      <c r="W33" s="49">
        <v>23</v>
      </c>
      <c r="X33" s="49">
        <v>24</v>
      </c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49"/>
      <c r="AL33" s="49"/>
      <c r="AM33" s="49"/>
      <c r="AN33" s="49"/>
      <c r="AO33" s="49"/>
      <c r="AP33" s="49"/>
      <c r="AQ33" s="49"/>
      <c r="AR33" s="49"/>
      <c r="AS33" s="49"/>
    </row>
    <row r="34" spans="1:45" ht="21" x14ac:dyDescent="0.5">
      <c r="A34" s="79" t="s">
        <v>203</v>
      </c>
      <c r="B34" s="49"/>
      <c r="C34" s="49"/>
      <c r="D34" s="49"/>
      <c r="E34" s="50"/>
      <c r="F34" s="49"/>
      <c r="G34" s="49"/>
      <c r="H34" s="50"/>
      <c r="I34" s="49"/>
      <c r="J34" s="49"/>
      <c r="K34" s="50"/>
      <c r="L34" s="49"/>
      <c r="M34" s="49"/>
      <c r="N34" s="50"/>
      <c r="O34" s="49"/>
      <c r="P34" s="49"/>
      <c r="Q34" s="50"/>
      <c r="R34" s="49"/>
      <c r="S34" s="49"/>
      <c r="T34" s="49"/>
      <c r="U34" s="49"/>
      <c r="V34" s="49"/>
      <c r="W34" s="49"/>
      <c r="X34" s="49"/>
      <c r="Y34" s="49"/>
      <c r="Z34" s="49"/>
      <c r="AA34" s="49"/>
      <c r="AB34" s="49"/>
      <c r="AC34" s="49"/>
      <c r="AD34" s="49"/>
      <c r="AE34" s="49"/>
      <c r="AF34" s="49"/>
      <c r="AG34" s="49"/>
      <c r="AH34" s="49"/>
      <c r="AI34" s="49"/>
      <c r="AJ34" s="49"/>
      <c r="AK34" s="49"/>
      <c r="AL34" s="49"/>
      <c r="AM34" s="49"/>
      <c r="AN34" s="49"/>
      <c r="AO34" s="49"/>
      <c r="AP34" s="49"/>
      <c r="AQ34" s="49"/>
      <c r="AR34" s="49"/>
      <c r="AS34" s="49"/>
    </row>
    <row r="35" spans="1:45" ht="15.5" x14ac:dyDescent="0.35">
      <c r="A35" s="49"/>
      <c r="B35" s="49"/>
      <c r="C35" s="55" t="s">
        <v>160</v>
      </c>
      <c r="D35" s="81" t="s">
        <v>213</v>
      </c>
      <c r="E35" s="58" t="s">
        <v>212</v>
      </c>
      <c r="F35" s="59" t="s">
        <v>224</v>
      </c>
      <c r="G35" s="59" t="s">
        <v>160</v>
      </c>
      <c r="H35" s="58" t="s">
        <v>161</v>
      </c>
      <c r="I35" s="61" t="s">
        <v>250</v>
      </c>
      <c r="J35" s="61" t="s">
        <v>160</v>
      </c>
      <c r="K35" s="61" t="s">
        <v>161</v>
      </c>
      <c r="L35" s="62" t="s">
        <v>251</v>
      </c>
      <c r="M35" s="61" t="s">
        <v>160</v>
      </c>
      <c r="N35" s="61" t="s">
        <v>161</v>
      </c>
      <c r="O35" s="62" t="s">
        <v>251</v>
      </c>
      <c r="P35" s="49"/>
      <c r="Q35" s="50"/>
      <c r="R35" s="49"/>
      <c r="S35" s="49"/>
      <c r="T35" s="49"/>
      <c r="U35" s="49"/>
      <c r="V35" s="49"/>
      <c r="W35" s="49"/>
      <c r="X35" s="49"/>
      <c r="Y35" s="49"/>
      <c r="Z35" s="49"/>
      <c r="AA35" s="49"/>
      <c r="AB35" s="49"/>
      <c r="AC35" s="49"/>
      <c r="AD35" s="49"/>
      <c r="AE35" s="49"/>
      <c r="AF35" s="49"/>
      <c r="AG35" s="49"/>
      <c r="AH35" s="49"/>
      <c r="AI35" s="49"/>
      <c r="AJ35" s="49"/>
      <c r="AK35" s="49"/>
      <c r="AL35" s="49"/>
      <c r="AM35" s="49"/>
      <c r="AN35" s="49"/>
      <c r="AO35" s="49"/>
      <c r="AP35" s="49"/>
      <c r="AQ35" s="49"/>
      <c r="AR35" s="49"/>
      <c r="AS35" s="49"/>
    </row>
    <row r="36" spans="1:45" ht="15.5" x14ac:dyDescent="0.35">
      <c r="A36" s="64" t="s">
        <v>272</v>
      </c>
      <c r="B36" s="65" t="s">
        <v>272</v>
      </c>
      <c r="C36" s="49"/>
      <c r="D36" s="49">
        <v>0</v>
      </c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50"/>
      <c r="R36" s="66" t="s">
        <v>272</v>
      </c>
      <c r="S36" s="65" t="s">
        <v>272</v>
      </c>
      <c r="T36" s="49" t="s">
        <v>272</v>
      </c>
      <c r="U36" s="49"/>
      <c r="V36" s="49"/>
      <c r="W36" s="49"/>
      <c r="X36" s="49"/>
      <c r="Y36" s="49"/>
      <c r="Z36" s="49"/>
      <c r="AA36" s="49"/>
      <c r="AB36" s="49"/>
      <c r="AC36" s="49"/>
      <c r="AD36" s="49"/>
      <c r="AE36" s="49"/>
      <c r="AF36" s="49"/>
      <c r="AG36" s="49"/>
      <c r="AH36" s="49"/>
      <c r="AI36" s="49"/>
      <c r="AJ36" s="49"/>
      <c r="AK36" s="49"/>
      <c r="AL36" s="49"/>
      <c r="AM36" s="49"/>
      <c r="AN36" s="49"/>
      <c r="AO36" s="49"/>
      <c r="AP36" s="49"/>
      <c r="AQ36" s="49"/>
      <c r="AR36" s="49"/>
      <c r="AS36" s="49"/>
    </row>
    <row r="37" spans="1:45" ht="15.5" x14ac:dyDescent="0.35">
      <c r="A37" s="80" t="s">
        <v>204</v>
      </c>
      <c r="B37" s="80" t="s">
        <v>207</v>
      </c>
      <c r="C37" s="49">
        <v>7601</v>
      </c>
      <c r="D37" s="49">
        <v>0</v>
      </c>
      <c r="E37" s="50">
        <v>0.6</v>
      </c>
      <c r="F37" s="49" t="s">
        <v>225</v>
      </c>
      <c r="G37" s="71">
        <f>G38/3</f>
        <v>210.45600000000002</v>
      </c>
      <c r="H37" s="71">
        <f>H38/3</f>
        <v>3741.44</v>
      </c>
      <c r="I37" s="49"/>
      <c r="J37" s="71">
        <f>C37+G37</f>
        <v>7811.4560000000001</v>
      </c>
      <c r="K37" s="71">
        <f>H37</f>
        <v>3741.44</v>
      </c>
      <c r="L37" s="71">
        <f>J37-K37</f>
        <v>4070.0160000000001</v>
      </c>
      <c r="M37" s="72">
        <f>J37/1000</f>
        <v>7.8114559999999997</v>
      </c>
      <c r="N37" s="72">
        <f>K37/1000</f>
        <v>3.7414399999999999</v>
      </c>
      <c r="O37" s="72">
        <f>L37/1000</f>
        <v>4.0700159999999999</v>
      </c>
      <c r="P37" s="49"/>
      <c r="Q37" s="50"/>
      <c r="R37" s="49" t="s">
        <v>204</v>
      </c>
      <c r="S37" s="49" t="s">
        <v>207</v>
      </c>
      <c r="T37" s="49" t="s">
        <v>305</v>
      </c>
      <c r="U37" s="49"/>
      <c r="V37" s="49"/>
      <c r="W37" s="49"/>
      <c r="X37" s="49"/>
      <c r="Y37" s="49"/>
      <c r="Z37" s="49"/>
      <c r="AA37" s="49"/>
      <c r="AB37" s="49"/>
      <c r="AC37" s="49"/>
      <c r="AD37" s="49"/>
      <c r="AE37" s="49"/>
      <c r="AF37" s="49"/>
      <c r="AG37" s="49"/>
      <c r="AH37" s="49"/>
      <c r="AI37" s="49"/>
      <c r="AJ37" s="49"/>
      <c r="AK37" s="49"/>
      <c r="AL37" s="49"/>
      <c r="AM37" s="49"/>
      <c r="AN37" s="49"/>
      <c r="AO37" s="49"/>
      <c r="AP37" s="49"/>
      <c r="AQ37" s="49"/>
      <c r="AR37" s="49"/>
      <c r="AS37" s="49"/>
    </row>
    <row r="38" spans="1:45" ht="15.5" x14ac:dyDescent="0.35">
      <c r="A38" s="80" t="s">
        <v>205</v>
      </c>
      <c r="B38" s="80" t="s">
        <v>208</v>
      </c>
      <c r="C38" s="71">
        <v>7965.54</v>
      </c>
      <c r="D38" s="49">
        <v>0</v>
      </c>
      <c r="E38" s="50">
        <v>0</v>
      </c>
      <c r="F38" s="49" t="s">
        <v>282</v>
      </c>
      <c r="G38" s="71">
        <v>631.36800000000005</v>
      </c>
      <c r="H38" s="69">
        <v>11224.32</v>
      </c>
      <c r="I38" s="49"/>
      <c r="J38" s="71">
        <f t="shared" ref="J38:J40" si="18">C38+G38</f>
        <v>8596.9079999999994</v>
      </c>
      <c r="K38" s="71">
        <f t="shared" ref="K38:K40" si="19">H38</f>
        <v>11224.32</v>
      </c>
      <c r="L38" s="71">
        <f t="shared" ref="L38:L40" si="20">J38-K38</f>
        <v>-2627.4120000000003</v>
      </c>
      <c r="M38" s="72">
        <f t="shared" ref="M38:M40" si="21">J38/1000</f>
        <v>8.5969079999999991</v>
      </c>
      <c r="N38" s="72">
        <f t="shared" ref="N38:N40" si="22">K38/1000</f>
        <v>11.224320000000001</v>
      </c>
      <c r="O38" s="72">
        <f t="shared" ref="O38:O40" si="23">L38/1000</f>
        <v>-2.6274120000000001</v>
      </c>
      <c r="P38" s="49"/>
      <c r="Q38" s="50"/>
      <c r="R38" s="49" t="s">
        <v>205</v>
      </c>
      <c r="S38" s="49" t="s">
        <v>208</v>
      </c>
      <c r="T38" s="49" t="s">
        <v>306</v>
      </c>
      <c r="U38" s="49"/>
      <c r="V38" s="49"/>
      <c r="W38" s="49"/>
      <c r="X38" s="49"/>
      <c r="Y38" s="49"/>
      <c r="Z38" s="49"/>
      <c r="AA38" s="49"/>
      <c r="AB38" s="49"/>
      <c r="AC38" s="49"/>
      <c r="AD38" s="49"/>
      <c r="AE38" s="49"/>
      <c r="AF38" s="49"/>
      <c r="AG38" s="49"/>
      <c r="AH38" s="49"/>
      <c r="AI38" s="49"/>
      <c r="AJ38" s="49"/>
      <c r="AK38" s="49"/>
      <c r="AL38" s="49"/>
      <c r="AM38" s="49"/>
      <c r="AN38" s="49"/>
      <c r="AO38" s="49"/>
      <c r="AP38" s="49"/>
      <c r="AQ38" s="49"/>
      <c r="AR38" s="49"/>
      <c r="AS38" s="49"/>
    </row>
    <row r="39" spans="1:45" ht="15.5" x14ac:dyDescent="0.35">
      <c r="A39" s="80" t="s">
        <v>206</v>
      </c>
      <c r="B39" s="80" t="s">
        <v>209</v>
      </c>
      <c r="C39" s="71">
        <v>3186.2159999999999</v>
      </c>
      <c r="D39" s="49">
        <v>0</v>
      </c>
      <c r="E39" s="50">
        <v>0.6</v>
      </c>
      <c r="F39" s="49" t="s">
        <v>283</v>
      </c>
      <c r="G39" s="71">
        <f>G38/2</f>
        <v>315.68400000000003</v>
      </c>
      <c r="H39" s="71">
        <f>H38/2</f>
        <v>5612.16</v>
      </c>
      <c r="I39" s="49"/>
      <c r="J39" s="71">
        <f t="shared" si="18"/>
        <v>3501.9</v>
      </c>
      <c r="K39" s="71">
        <f t="shared" si="19"/>
        <v>5612.16</v>
      </c>
      <c r="L39" s="71">
        <f t="shared" si="20"/>
        <v>-2110.2599999999998</v>
      </c>
      <c r="M39" s="72">
        <f t="shared" si="21"/>
        <v>3.5019</v>
      </c>
      <c r="N39" s="72">
        <f t="shared" si="22"/>
        <v>5.6121600000000003</v>
      </c>
      <c r="O39" s="72">
        <f t="shared" si="23"/>
        <v>-2.1102599999999998</v>
      </c>
      <c r="P39" s="49"/>
      <c r="Q39" s="50"/>
      <c r="R39" s="49" t="s">
        <v>206</v>
      </c>
      <c r="S39" s="49" t="s">
        <v>209</v>
      </c>
      <c r="T39" s="49" t="s">
        <v>307</v>
      </c>
      <c r="U39" s="49"/>
      <c r="V39" s="49"/>
      <c r="W39" s="49"/>
      <c r="X39" s="49"/>
      <c r="Y39" s="49"/>
      <c r="Z39" s="49"/>
      <c r="AA39" s="49"/>
      <c r="AB39" s="49"/>
      <c r="AC39" s="49"/>
      <c r="AD39" s="49"/>
      <c r="AE39" s="49"/>
      <c r="AF39" s="49"/>
      <c r="AG39" s="49"/>
      <c r="AH39" s="49"/>
      <c r="AI39" s="49"/>
      <c r="AJ39" s="49"/>
      <c r="AK39" s="49"/>
      <c r="AL39" s="49"/>
      <c r="AM39" s="49"/>
      <c r="AN39" s="49"/>
      <c r="AO39" s="49"/>
      <c r="AP39" s="49"/>
      <c r="AQ39" s="49"/>
      <c r="AR39" s="49"/>
      <c r="AS39" s="49"/>
    </row>
    <row r="40" spans="1:45" ht="15.5" x14ac:dyDescent="0.35">
      <c r="A40" s="80" t="s">
        <v>211</v>
      </c>
      <c r="B40" s="80" t="s">
        <v>210</v>
      </c>
      <c r="C40" s="71">
        <v>3706.56</v>
      </c>
      <c r="D40" s="49">
        <v>0</v>
      </c>
      <c r="E40" s="50"/>
      <c r="F40" s="49" t="s">
        <v>226</v>
      </c>
      <c r="G40" s="71">
        <v>255.95999999999998</v>
      </c>
      <c r="H40" s="69">
        <v>4550.4000000000005</v>
      </c>
      <c r="I40" s="49"/>
      <c r="J40" s="71">
        <f t="shared" si="18"/>
        <v>3962.52</v>
      </c>
      <c r="K40" s="71">
        <f t="shared" si="19"/>
        <v>4550.4000000000005</v>
      </c>
      <c r="L40" s="71">
        <f t="shared" si="20"/>
        <v>-587.88000000000056</v>
      </c>
      <c r="M40" s="72">
        <f t="shared" si="21"/>
        <v>3.96252</v>
      </c>
      <c r="N40" s="72">
        <f t="shared" si="22"/>
        <v>4.5504000000000007</v>
      </c>
      <c r="O40" s="72">
        <f t="shared" si="23"/>
        <v>-0.58788000000000051</v>
      </c>
      <c r="P40" s="49"/>
      <c r="Q40" s="50"/>
      <c r="R40" s="49" t="s">
        <v>211</v>
      </c>
      <c r="S40" s="49" t="s">
        <v>210</v>
      </c>
      <c r="T40" s="49" t="s">
        <v>308</v>
      </c>
      <c r="U40" s="49"/>
      <c r="V40" s="49"/>
      <c r="W40" s="49"/>
      <c r="X40" s="49"/>
      <c r="Y40" s="49"/>
      <c r="Z40" s="49"/>
      <c r="AA40" s="49"/>
      <c r="AB40" s="49"/>
      <c r="AC40" s="49"/>
      <c r="AD40" s="49"/>
      <c r="AE40" s="49"/>
      <c r="AF40" s="49"/>
      <c r="AG40" s="49"/>
      <c r="AH40" s="49"/>
      <c r="AI40" s="49"/>
      <c r="AJ40" s="49"/>
      <c r="AK40" s="49"/>
      <c r="AL40" s="49"/>
      <c r="AM40" s="49"/>
      <c r="AN40" s="49"/>
      <c r="AO40" s="49"/>
      <c r="AP40" s="49"/>
      <c r="AQ40" s="49"/>
      <c r="AR40" s="49"/>
      <c r="AS40" s="49"/>
    </row>
    <row r="41" spans="1:45" ht="21" x14ac:dyDescent="0.5">
      <c r="A41" s="79" t="s">
        <v>228</v>
      </c>
      <c r="B41" s="49"/>
      <c r="C41" s="49"/>
      <c r="D41" s="49"/>
      <c r="E41" s="50"/>
      <c r="F41" s="49"/>
      <c r="G41" s="49"/>
      <c r="H41" s="50"/>
      <c r="I41" s="49"/>
      <c r="J41" s="49"/>
      <c r="K41" s="50"/>
      <c r="L41" s="49"/>
      <c r="M41" s="49"/>
      <c r="N41" s="50"/>
      <c r="O41" s="49"/>
      <c r="P41" s="49"/>
      <c r="Q41" s="50"/>
      <c r="R41" s="49"/>
      <c r="S41" s="49"/>
      <c r="T41" s="49"/>
      <c r="U41" s="49"/>
      <c r="V41" s="49"/>
      <c r="W41" s="49"/>
      <c r="X41" s="49"/>
      <c r="Y41" s="49"/>
      <c r="Z41" s="49"/>
      <c r="AA41" s="49"/>
      <c r="AB41" s="49"/>
      <c r="AC41" s="49"/>
      <c r="AD41" s="49"/>
      <c r="AE41" s="49"/>
      <c r="AF41" s="49"/>
      <c r="AG41" s="49"/>
      <c r="AH41" s="49"/>
      <c r="AI41" s="49"/>
      <c r="AJ41" s="49"/>
      <c r="AK41" s="49"/>
      <c r="AL41" s="49"/>
      <c r="AM41" s="49"/>
      <c r="AN41" s="49"/>
      <c r="AO41" s="49"/>
      <c r="AP41" s="49"/>
      <c r="AQ41" s="49"/>
      <c r="AR41" s="49"/>
      <c r="AS41" s="49"/>
    </row>
    <row r="42" spans="1:45" ht="15.5" x14ac:dyDescent="0.35">
      <c r="A42" s="49"/>
      <c r="B42" s="49"/>
      <c r="C42" s="55" t="s">
        <v>286</v>
      </c>
      <c r="D42" s="55" t="s">
        <v>160</v>
      </c>
      <c r="E42" s="58" t="s">
        <v>161</v>
      </c>
      <c r="F42" s="59" t="s">
        <v>189</v>
      </c>
      <c r="G42" s="59" t="s">
        <v>160</v>
      </c>
      <c r="H42" s="60" t="s">
        <v>161</v>
      </c>
      <c r="I42" s="59" t="s">
        <v>15</v>
      </c>
      <c r="J42" s="59" t="s">
        <v>160</v>
      </c>
      <c r="K42" s="58" t="s">
        <v>161</v>
      </c>
      <c r="L42" s="59" t="s">
        <v>179</v>
      </c>
      <c r="M42" s="59" t="s">
        <v>160</v>
      </c>
      <c r="N42" s="58" t="s">
        <v>161</v>
      </c>
      <c r="O42" s="55" t="s">
        <v>193</v>
      </c>
      <c r="P42" s="56" t="s">
        <v>160</v>
      </c>
      <c r="Q42" s="57" t="s">
        <v>161</v>
      </c>
      <c r="R42" s="61" t="s">
        <v>250</v>
      </c>
      <c r="S42" s="61" t="s">
        <v>160</v>
      </c>
      <c r="T42" s="61" t="s">
        <v>161</v>
      </c>
      <c r="U42" s="62" t="s">
        <v>251</v>
      </c>
      <c r="V42" s="61" t="s">
        <v>160</v>
      </c>
      <c r="W42" s="61" t="s">
        <v>161</v>
      </c>
      <c r="X42" s="62" t="s">
        <v>251</v>
      </c>
      <c r="Y42" s="49"/>
      <c r="Z42" s="49"/>
      <c r="AA42" s="49"/>
      <c r="AB42" s="49"/>
      <c r="AC42" s="49"/>
      <c r="AD42" s="49"/>
      <c r="AE42" s="49"/>
      <c r="AF42" s="49"/>
      <c r="AG42" s="49"/>
      <c r="AH42" s="49"/>
      <c r="AI42" s="49"/>
      <c r="AJ42" s="49"/>
      <c r="AK42" s="49"/>
      <c r="AL42" s="49"/>
      <c r="AM42" s="49"/>
      <c r="AN42" s="49"/>
      <c r="AO42" s="49"/>
      <c r="AP42" s="49"/>
      <c r="AQ42" s="49"/>
      <c r="AR42" s="49"/>
      <c r="AS42" s="49"/>
    </row>
    <row r="43" spans="1:45" ht="15.5" x14ac:dyDescent="0.35">
      <c r="A43" s="64" t="s">
        <v>272</v>
      </c>
      <c r="B43" s="65" t="s">
        <v>272</v>
      </c>
      <c r="C43" s="49"/>
      <c r="D43" s="49"/>
      <c r="E43" s="50"/>
      <c r="F43" s="49"/>
      <c r="G43" s="49"/>
      <c r="H43" s="50"/>
      <c r="I43" s="49"/>
      <c r="J43" s="49"/>
      <c r="K43" s="50"/>
      <c r="L43" s="49"/>
      <c r="M43" s="49"/>
      <c r="N43" s="50"/>
      <c r="O43" s="49"/>
      <c r="P43" s="49"/>
      <c r="Q43" s="50"/>
      <c r="R43" s="49"/>
      <c r="S43" s="49"/>
      <c r="T43" s="49"/>
      <c r="U43" s="49"/>
      <c r="V43" s="49"/>
      <c r="W43" s="49"/>
      <c r="X43" s="49"/>
      <c r="Y43" s="49"/>
      <c r="Z43" s="66" t="s">
        <v>272</v>
      </c>
      <c r="AA43" s="65" t="s">
        <v>272</v>
      </c>
      <c r="AB43" s="49" t="s">
        <v>272</v>
      </c>
      <c r="AC43" s="49"/>
      <c r="AD43" s="49"/>
      <c r="AE43" s="49"/>
      <c r="AF43" s="49"/>
      <c r="AG43" s="49"/>
      <c r="AH43" s="49"/>
      <c r="AI43" s="49"/>
      <c r="AJ43" s="49"/>
      <c r="AK43" s="49"/>
      <c r="AL43" s="49"/>
      <c r="AM43" s="49"/>
      <c r="AN43" s="49"/>
      <c r="AO43" s="49"/>
      <c r="AP43" s="49"/>
      <c r="AQ43" s="49"/>
      <c r="AR43" s="49"/>
      <c r="AS43" s="49"/>
    </row>
    <row r="44" spans="1:45" ht="11.5" customHeight="1" x14ac:dyDescent="0.35">
      <c r="A44" s="80" t="s">
        <v>229</v>
      </c>
      <c r="B44" s="80" t="s">
        <v>172</v>
      </c>
      <c r="C44" s="49">
        <v>204.7</v>
      </c>
      <c r="D44" s="71">
        <v>19241.800000000003</v>
      </c>
      <c r="E44" s="69">
        <v>153934.40000000002</v>
      </c>
      <c r="F44" s="49"/>
      <c r="G44" s="71">
        <v>13770.75</v>
      </c>
      <c r="H44" s="50">
        <v>0</v>
      </c>
      <c r="I44" s="49"/>
      <c r="J44" s="49">
        <v>21707.000000000004</v>
      </c>
      <c r="K44" s="50">
        <v>0</v>
      </c>
      <c r="L44" s="49"/>
      <c r="M44" s="49">
        <v>0</v>
      </c>
      <c r="N44" s="50">
        <v>0</v>
      </c>
      <c r="O44" s="49"/>
      <c r="P44" s="49">
        <v>0</v>
      </c>
      <c r="Q44" s="50">
        <v>0</v>
      </c>
      <c r="R44" s="49"/>
      <c r="S44" s="71">
        <f>D44+G44+J44+M44+P44</f>
        <v>54719.55</v>
      </c>
      <c r="T44" s="71">
        <f>E44+H44+K44+N44+Q44</f>
        <v>153934.40000000002</v>
      </c>
      <c r="U44" s="71">
        <f>S44-T44</f>
        <v>-99214.85000000002</v>
      </c>
      <c r="V44" s="71">
        <f>S44/1000</f>
        <v>54.719550000000005</v>
      </c>
      <c r="W44" s="71">
        <f>T44/1000</f>
        <v>153.93440000000001</v>
      </c>
      <c r="X44" s="71">
        <f>V44-W44</f>
        <v>-99.214850000000013</v>
      </c>
      <c r="Y44" s="49"/>
      <c r="Z44" s="49" t="s">
        <v>229</v>
      </c>
      <c r="AA44" s="49" t="s">
        <v>172</v>
      </c>
      <c r="AB44" s="49" t="s">
        <v>310</v>
      </c>
      <c r="AC44" s="49"/>
      <c r="AD44" s="49"/>
      <c r="AE44" s="49"/>
      <c r="AF44" s="49"/>
      <c r="AG44" s="49"/>
      <c r="AH44" s="49"/>
      <c r="AI44" s="49"/>
      <c r="AJ44" s="49"/>
      <c r="AK44" s="49"/>
      <c r="AL44" s="49"/>
      <c r="AM44" s="49"/>
      <c r="AN44" s="49"/>
      <c r="AO44" s="49"/>
      <c r="AP44" s="49"/>
      <c r="AQ44" s="49"/>
      <c r="AR44" s="49"/>
      <c r="AS44" s="49"/>
    </row>
    <row r="45" spans="1:45" ht="15.5" x14ac:dyDescent="0.35">
      <c r="A45" s="80" t="s">
        <v>230</v>
      </c>
      <c r="B45" s="80" t="s">
        <v>234</v>
      </c>
      <c r="C45" s="49">
        <v>253.6</v>
      </c>
      <c r="D45" s="71">
        <v>23838.400000000001</v>
      </c>
      <c r="E45" s="69">
        <v>190707.20000000001</v>
      </c>
      <c r="F45" s="49"/>
      <c r="G45" s="71">
        <v>15289.65</v>
      </c>
      <c r="H45" s="50">
        <v>0</v>
      </c>
      <c r="I45" s="49"/>
      <c r="J45" s="49">
        <v>22687.000000000004</v>
      </c>
      <c r="K45" s="50">
        <v>0</v>
      </c>
      <c r="L45" s="49"/>
      <c r="M45" s="49">
        <v>0</v>
      </c>
      <c r="N45" s="50">
        <v>0</v>
      </c>
      <c r="O45" s="49"/>
      <c r="P45" s="49">
        <v>0</v>
      </c>
      <c r="Q45" s="50">
        <v>0</v>
      </c>
      <c r="R45" s="49"/>
      <c r="S45" s="71">
        <f t="shared" ref="S45:S47" si="24">D45+G45+J45+M45+P45</f>
        <v>61815.05</v>
      </c>
      <c r="T45" s="71">
        <f t="shared" ref="T45:T47" si="25">E45+H45+K45+N45+Q45</f>
        <v>190707.20000000001</v>
      </c>
      <c r="U45" s="71">
        <f t="shared" ref="U45:U47" si="26">S45-T45</f>
        <v>-128892.15000000001</v>
      </c>
      <c r="V45" s="71">
        <f t="shared" ref="V45:V47" si="27">S45/1000</f>
        <v>61.815049999999999</v>
      </c>
      <c r="W45" s="71">
        <f t="shared" ref="W45:W47" si="28">T45/1000</f>
        <v>190.7072</v>
      </c>
      <c r="X45" s="71">
        <f t="shared" ref="X45:X47" si="29">V45-W45</f>
        <v>-128.89215000000002</v>
      </c>
      <c r="Y45" s="49"/>
      <c r="Z45" s="49" t="s">
        <v>230</v>
      </c>
      <c r="AA45" s="49" t="s">
        <v>234</v>
      </c>
      <c r="AB45" s="49" t="s">
        <v>311</v>
      </c>
      <c r="AC45" s="49"/>
      <c r="AD45" s="49"/>
      <c r="AE45" s="49"/>
      <c r="AF45" s="49"/>
      <c r="AG45" s="49"/>
      <c r="AH45" s="49"/>
      <c r="AI45" s="49"/>
      <c r="AJ45" s="49"/>
      <c r="AK45" s="49"/>
      <c r="AL45" s="49"/>
      <c r="AM45" s="49"/>
      <c r="AN45" s="49"/>
      <c r="AO45" s="49"/>
      <c r="AP45" s="49"/>
      <c r="AQ45" s="49"/>
      <c r="AR45" s="49"/>
      <c r="AS45" s="49"/>
    </row>
    <row r="46" spans="1:45" ht="15.5" x14ac:dyDescent="0.35">
      <c r="A46" s="80" t="s">
        <v>231</v>
      </c>
      <c r="B46" s="80" t="s">
        <v>179</v>
      </c>
      <c r="C46" s="72">
        <f>RankaLaskuri!Y125</f>
        <v>0</v>
      </c>
      <c r="D46" s="49">
        <v>0</v>
      </c>
      <c r="E46" s="50">
        <v>0</v>
      </c>
      <c r="F46" s="49"/>
      <c r="G46" s="71">
        <v>20937.599999999999</v>
      </c>
      <c r="H46" s="50">
        <v>0</v>
      </c>
      <c r="I46" s="49"/>
      <c r="J46" s="49">
        <v>26166.000000000004</v>
      </c>
      <c r="K46" s="50">
        <v>0</v>
      </c>
      <c r="L46" s="49"/>
      <c r="M46" s="71">
        <v>1788.5151496396797</v>
      </c>
      <c r="N46" s="69">
        <v>32518.457266176003</v>
      </c>
      <c r="O46" s="49"/>
      <c r="P46" s="49">
        <v>0</v>
      </c>
      <c r="Q46" s="50">
        <v>0</v>
      </c>
      <c r="R46" s="49"/>
      <c r="S46" s="71">
        <f t="shared" si="24"/>
        <v>48892.115149639685</v>
      </c>
      <c r="T46" s="71">
        <f t="shared" si="25"/>
        <v>32518.457266176003</v>
      </c>
      <c r="U46" s="71">
        <f t="shared" si="26"/>
        <v>16373.657883463682</v>
      </c>
      <c r="V46" s="71">
        <f t="shared" si="27"/>
        <v>48.892115149639686</v>
      </c>
      <c r="W46" s="71">
        <f t="shared" si="28"/>
        <v>32.518457266176</v>
      </c>
      <c r="X46" s="71">
        <f t="shared" si="29"/>
        <v>16.373657883463686</v>
      </c>
      <c r="Y46" s="49"/>
      <c r="Z46" s="49" t="s">
        <v>231</v>
      </c>
      <c r="AA46" s="49" t="s">
        <v>179</v>
      </c>
      <c r="AB46" s="49" t="s">
        <v>309</v>
      </c>
      <c r="AC46" s="49"/>
      <c r="AD46" s="49"/>
      <c r="AE46" s="49"/>
      <c r="AF46" s="49"/>
      <c r="AG46" s="49"/>
      <c r="AH46" s="49"/>
      <c r="AI46" s="49"/>
      <c r="AJ46" s="49"/>
      <c r="AK46" s="49"/>
      <c r="AL46" s="49"/>
      <c r="AM46" s="49"/>
      <c r="AN46" s="49"/>
      <c r="AO46" s="49"/>
      <c r="AP46" s="49"/>
      <c r="AQ46" s="49"/>
      <c r="AR46" s="49"/>
      <c r="AS46" s="49"/>
    </row>
    <row r="47" spans="1:45" ht="15.5" x14ac:dyDescent="0.35">
      <c r="A47" s="80" t="s">
        <v>232</v>
      </c>
      <c r="B47" s="80" t="s">
        <v>180</v>
      </c>
      <c r="C47" s="49">
        <v>336.3</v>
      </c>
      <c r="D47" s="71">
        <v>119806.875</v>
      </c>
      <c r="E47" s="50">
        <v>0</v>
      </c>
      <c r="F47" s="49"/>
      <c r="G47" s="71">
        <v>7942.2000000000007</v>
      </c>
      <c r="H47" s="50">
        <v>0</v>
      </c>
      <c r="I47" s="49"/>
      <c r="J47" s="49">
        <v>9800.0000000000018</v>
      </c>
      <c r="K47" s="50">
        <v>0</v>
      </c>
      <c r="L47" s="49"/>
      <c r="M47" s="49">
        <v>0</v>
      </c>
      <c r="N47" s="50">
        <v>0</v>
      </c>
      <c r="O47" s="49"/>
      <c r="P47" s="49">
        <v>124473.75</v>
      </c>
      <c r="Q47" s="50">
        <v>0</v>
      </c>
      <c r="R47" s="49"/>
      <c r="S47" s="71">
        <f t="shared" si="24"/>
        <v>262022.82500000001</v>
      </c>
      <c r="T47" s="71">
        <f t="shared" si="25"/>
        <v>0</v>
      </c>
      <c r="U47" s="71">
        <f t="shared" si="26"/>
        <v>262022.82500000001</v>
      </c>
      <c r="V47" s="71">
        <f t="shared" si="27"/>
        <v>262.02282500000001</v>
      </c>
      <c r="W47" s="71">
        <f t="shared" si="28"/>
        <v>0</v>
      </c>
      <c r="X47" s="71">
        <f t="shared" si="29"/>
        <v>262.02282500000001</v>
      </c>
      <c r="Y47" s="49"/>
      <c r="Z47" s="49" t="s">
        <v>232</v>
      </c>
      <c r="AA47" s="49" t="s">
        <v>180</v>
      </c>
      <c r="AB47" s="49" t="s">
        <v>312</v>
      </c>
      <c r="AC47" s="49"/>
      <c r="AD47" s="49"/>
      <c r="AE47" s="49"/>
      <c r="AF47" s="49"/>
      <c r="AG47" s="49"/>
      <c r="AH47" s="49"/>
      <c r="AI47" s="49"/>
      <c r="AJ47" s="49"/>
      <c r="AK47" s="49"/>
      <c r="AL47" s="49"/>
      <c r="AM47" s="49"/>
      <c r="AN47" s="49"/>
      <c r="AO47" s="49"/>
      <c r="AP47" s="49"/>
      <c r="AQ47" s="49"/>
      <c r="AR47" s="49"/>
      <c r="AS47" s="49"/>
    </row>
    <row r="48" spans="1:45" ht="15.5" x14ac:dyDescent="0.35">
      <c r="A48" s="80"/>
      <c r="B48" s="80"/>
      <c r="C48" s="49"/>
      <c r="D48" s="49"/>
      <c r="E48" s="50"/>
      <c r="F48" s="49"/>
      <c r="G48" s="49"/>
      <c r="H48" s="50"/>
      <c r="I48" s="49"/>
      <c r="J48" s="49"/>
      <c r="K48" s="50"/>
      <c r="L48" s="49"/>
      <c r="M48" s="49"/>
      <c r="N48" s="50"/>
      <c r="O48" s="49"/>
      <c r="P48" s="49"/>
      <c r="Q48" s="50"/>
      <c r="R48" s="49"/>
      <c r="S48" s="49"/>
      <c r="T48" s="49"/>
      <c r="U48" s="49"/>
      <c r="V48" s="49"/>
      <c r="W48" s="49"/>
      <c r="X48" s="49"/>
      <c r="Y48" s="49"/>
      <c r="Z48" s="49"/>
      <c r="AA48" s="49"/>
      <c r="AB48" s="49"/>
      <c r="AC48" s="49"/>
      <c r="AD48" s="49"/>
      <c r="AE48" s="49"/>
      <c r="AF48" s="49"/>
      <c r="AG48" s="49"/>
      <c r="AH48" s="49"/>
      <c r="AI48" s="49"/>
      <c r="AJ48" s="49"/>
      <c r="AK48" s="49"/>
      <c r="AL48" s="49"/>
      <c r="AM48" s="49"/>
      <c r="AN48" s="49"/>
      <c r="AO48" s="49"/>
      <c r="AP48" s="49"/>
      <c r="AQ48" s="49"/>
      <c r="AR48" s="49"/>
      <c r="AS48" s="49"/>
    </row>
    <row r="49" spans="1:45" x14ac:dyDescent="0.35">
      <c r="A49" s="49">
        <v>1</v>
      </c>
      <c r="B49" s="49">
        <v>2</v>
      </c>
      <c r="C49" s="49">
        <v>3</v>
      </c>
      <c r="D49" s="71">
        <v>4</v>
      </c>
      <c r="E49" s="34">
        <v>5</v>
      </c>
      <c r="F49" s="33">
        <v>6</v>
      </c>
      <c r="G49" s="71">
        <v>7</v>
      </c>
      <c r="H49" s="34">
        <v>8</v>
      </c>
      <c r="I49" s="33">
        <v>9</v>
      </c>
      <c r="J49" s="33">
        <v>10</v>
      </c>
      <c r="K49" s="50">
        <v>11</v>
      </c>
      <c r="L49" s="33">
        <v>12</v>
      </c>
      <c r="M49" s="33">
        <v>13</v>
      </c>
      <c r="N49" s="50"/>
      <c r="O49" s="49"/>
      <c r="P49" s="49"/>
      <c r="Q49" s="50"/>
      <c r="R49" s="49"/>
      <c r="S49" s="49"/>
      <c r="T49" s="49"/>
      <c r="U49" s="49"/>
      <c r="V49" s="49"/>
      <c r="W49" s="49"/>
      <c r="X49" s="49"/>
      <c r="Y49" s="49"/>
      <c r="Z49" s="49"/>
      <c r="AA49" s="49"/>
      <c r="AB49" s="49"/>
      <c r="AC49" s="49"/>
      <c r="AD49" s="49"/>
      <c r="AE49" s="49"/>
      <c r="AF49" s="49"/>
      <c r="AG49" s="49"/>
      <c r="AH49" s="49"/>
      <c r="AI49" s="49"/>
      <c r="AJ49" s="49"/>
      <c r="AK49" s="49"/>
      <c r="AL49" s="49"/>
      <c r="AM49" s="49"/>
      <c r="AN49" s="49"/>
      <c r="AO49" s="49"/>
      <c r="AP49" s="49"/>
      <c r="AQ49" s="49"/>
      <c r="AR49" s="49"/>
      <c r="AS49" s="49"/>
    </row>
    <row r="50" spans="1:45" ht="15.5" x14ac:dyDescent="0.35">
      <c r="A50" s="49"/>
      <c r="B50" s="49"/>
      <c r="C50" s="55" t="s">
        <v>193</v>
      </c>
      <c r="D50" s="56" t="s">
        <v>160</v>
      </c>
      <c r="E50" s="57" t="s">
        <v>161</v>
      </c>
      <c r="F50" s="59" t="s">
        <v>189</v>
      </c>
      <c r="G50" s="59" t="s">
        <v>160</v>
      </c>
      <c r="H50" s="60" t="s">
        <v>161</v>
      </c>
      <c r="I50" s="61" t="s">
        <v>250</v>
      </c>
      <c r="J50" s="61" t="s">
        <v>160</v>
      </c>
      <c r="K50" s="61" t="s">
        <v>160</v>
      </c>
      <c r="L50" s="61" t="s">
        <v>161</v>
      </c>
      <c r="M50" s="62" t="s">
        <v>251</v>
      </c>
      <c r="N50" s="49"/>
      <c r="O50" s="49"/>
      <c r="P50" s="49"/>
      <c r="Q50" s="50"/>
      <c r="R50" s="49"/>
      <c r="S50" s="49"/>
      <c r="T50" s="49"/>
      <c r="U50" s="49"/>
      <c r="V50" s="49"/>
      <c r="W50" s="49"/>
      <c r="X50" s="49"/>
      <c r="Y50" s="49"/>
      <c r="Z50" s="49"/>
      <c r="AA50" s="49"/>
      <c r="AB50" s="49"/>
      <c r="AC50" s="49"/>
      <c r="AD50" s="49"/>
      <c r="AE50" s="49"/>
      <c r="AF50" s="49"/>
      <c r="AG50" s="49"/>
      <c r="AH50" s="49"/>
      <c r="AI50" s="49"/>
      <c r="AJ50" s="49"/>
      <c r="AK50" s="49"/>
      <c r="AL50" s="49"/>
      <c r="AM50" s="49"/>
      <c r="AN50" s="49"/>
      <c r="AO50" s="49"/>
      <c r="AP50" s="49"/>
      <c r="AQ50" s="49"/>
      <c r="AR50" s="49"/>
      <c r="AS50" s="49"/>
    </row>
    <row r="51" spans="1:45" ht="21" x14ac:dyDescent="0.5">
      <c r="A51" s="79" t="s">
        <v>252</v>
      </c>
      <c r="B51" s="82" t="s">
        <v>272</v>
      </c>
      <c r="C51" s="82" t="s">
        <v>272</v>
      </c>
      <c r="D51" s="49">
        <v>0</v>
      </c>
      <c r="E51" s="49"/>
      <c r="F51" s="49"/>
      <c r="G51" s="71">
        <v>0</v>
      </c>
      <c r="H51" s="49"/>
      <c r="I51" s="49"/>
      <c r="J51" s="33">
        <v>0</v>
      </c>
      <c r="K51" s="33">
        <v>0</v>
      </c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  <c r="AA51" s="49"/>
      <c r="AB51" s="49"/>
      <c r="AC51" s="49"/>
      <c r="AD51" s="49"/>
      <c r="AE51" s="49"/>
      <c r="AF51" s="49"/>
      <c r="AG51" s="49"/>
      <c r="AH51" s="49"/>
      <c r="AI51" s="49"/>
      <c r="AJ51" s="49"/>
      <c r="AK51" s="49"/>
      <c r="AL51" s="49"/>
      <c r="AM51" s="49"/>
      <c r="AN51" s="49"/>
      <c r="AO51" s="49"/>
      <c r="AP51" s="49"/>
      <c r="AQ51" s="49"/>
      <c r="AR51" s="49"/>
      <c r="AS51" s="49"/>
    </row>
    <row r="52" spans="1:45" x14ac:dyDescent="0.35">
      <c r="A52" s="82" t="s">
        <v>272</v>
      </c>
      <c r="B52" s="82" t="s">
        <v>272</v>
      </c>
      <c r="C52" s="82" t="s">
        <v>272</v>
      </c>
      <c r="D52" s="82" t="s">
        <v>287</v>
      </c>
      <c r="E52" s="49"/>
      <c r="F52" s="49"/>
      <c r="G52" s="82" t="s">
        <v>272</v>
      </c>
      <c r="H52" s="49"/>
      <c r="I52" s="49"/>
      <c r="J52" s="82">
        <v>0</v>
      </c>
      <c r="K52" s="82" t="s">
        <v>272</v>
      </c>
      <c r="L52" s="49"/>
      <c r="M52" s="82" t="s">
        <v>272</v>
      </c>
      <c r="N52" s="49" t="s">
        <v>272</v>
      </c>
      <c r="O52" s="49"/>
      <c r="P52" s="49"/>
      <c r="Q52" s="49"/>
      <c r="R52" s="49"/>
      <c r="S52" s="49"/>
      <c r="T52" s="49"/>
      <c r="U52" s="49"/>
      <c r="V52" s="49"/>
      <c r="W52" s="49"/>
      <c r="X52" s="49"/>
      <c r="Y52" s="49"/>
      <c r="Z52" s="49"/>
      <c r="AA52" s="49"/>
      <c r="AB52" s="49"/>
      <c r="AC52" s="49"/>
      <c r="AD52" s="49"/>
      <c r="AE52" s="49"/>
      <c r="AF52" s="49"/>
      <c r="AG52" s="49"/>
      <c r="AH52" s="49"/>
      <c r="AI52" s="49"/>
      <c r="AJ52" s="49"/>
      <c r="AK52" s="49"/>
      <c r="AL52" s="49"/>
      <c r="AM52" s="49"/>
      <c r="AN52" s="49"/>
      <c r="AO52" s="49"/>
      <c r="AP52" s="49"/>
      <c r="AQ52" s="49"/>
      <c r="AR52" s="49"/>
      <c r="AS52" s="49"/>
    </row>
    <row r="53" spans="1:45" x14ac:dyDescent="0.35">
      <c r="A53" s="49" t="s">
        <v>258</v>
      </c>
      <c r="B53" s="49" t="s">
        <v>180</v>
      </c>
      <c r="C53" s="49" t="s">
        <v>258</v>
      </c>
      <c r="D53" s="71">
        <v>81132.641000000003</v>
      </c>
      <c r="E53" s="50"/>
      <c r="F53" s="49"/>
      <c r="G53" s="71">
        <v>2105.6</v>
      </c>
      <c r="H53" s="50"/>
      <c r="I53" s="49"/>
      <c r="J53" s="71">
        <f>D53+G53</f>
        <v>83238.241000000009</v>
      </c>
      <c r="K53" s="72">
        <f>J53/1000</f>
        <v>83.238241000000002</v>
      </c>
      <c r="L53" s="49"/>
      <c r="M53" s="49" t="s">
        <v>258</v>
      </c>
      <c r="N53" s="49" t="s">
        <v>313</v>
      </c>
      <c r="O53" s="49"/>
      <c r="P53" s="49"/>
      <c r="Q53" s="49"/>
      <c r="R53" s="49"/>
      <c r="S53" s="49"/>
      <c r="T53" s="49"/>
      <c r="U53" s="49"/>
      <c r="V53" s="49"/>
      <c r="W53" s="49"/>
      <c r="X53" s="49"/>
      <c r="Y53" s="49"/>
      <c r="Z53" s="49"/>
      <c r="AA53" s="49"/>
      <c r="AB53" s="49"/>
      <c r="AC53" s="49"/>
      <c r="AD53" s="49"/>
      <c r="AE53" s="49"/>
      <c r="AF53" s="49"/>
      <c r="AG53" s="49"/>
      <c r="AH53" s="49"/>
      <c r="AI53" s="49"/>
      <c r="AJ53" s="49"/>
      <c r="AK53" s="49"/>
      <c r="AL53" s="49"/>
      <c r="AM53" s="49"/>
      <c r="AN53" s="49"/>
      <c r="AO53" s="49"/>
      <c r="AP53" s="49"/>
      <c r="AQ53" s="49"/>
      <c r="AR53" s="49"/>
      <c r="AS53" s="49"/>
    </row>
    <row r="54" spans="1:45" x14ac:dyDescent="0.35">
      <c r="A54" s="49" t="s">
        <v>259</v>
      </c>
      <c r="B54" s="49" t="s">
        <v>259</v>
      </c>
      <c r="C54" s="49" t="s">
        <v>259</v>
      </c>
      <c r="D54" s="49">
        <v>0</v>
      </c>
      <c r="E54" s="50"/>
      <c r="F54" s="49"/>
      <c r="G54" s="49">
        <v>0</v>
      </c>
      <c r="H54" s="50"/>
      <c r="I54" s="49"/>
      <c r="J54" s="71">
        <v>0</v>
      </c>
      <c r="K54" s="72">
        <v>0</v>
      </c>
      <c r="L54" s="49"/>
      <c r="M54" s="49" t="s">
        <v>259</v>
      </c>
      <c r="N54" s="49" t="s">
        <v>272</v>
      </c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  <c r="Z54" s="49"/>
      <c r="AA54" s="49"/>
      <c r="AB54" s="49"/>
      <c r="AC54" s="49"/>
      <c r="AD54" s="49"/>
      <c r="AE54" s="49"/>
      <c r="AF54" s="49"/>
      <c r="AG54" s="49"/>
      <c r="AH54" s="49"/>
      <c r="AI54" s="49"/>
      <c r="AJ54" s="49"/>
      <c r="AK54" s="49"/>
      <c r="AL54" s="49"/>
      <c r="AM54" s="49"/>
      <c r="AN54" s="49"/>
      <c r="AO54" s="49"/>
      <c r="AP54" s="49"/>
      <c r="AQ54" s="49"/>
      <c r="AR54" s="49"/>
      <c r="AS54" s="49"/>
    </row>
    <row r="55" spans="1:45" ht="21" x14ac:dyDescent="0.5">
      <c r="A55" s="79" t="s">
        <v>257</v>
      </c>
      <c r="B55" s="49"/>
      <c r="C55" s="82" t="s">
        <v>272</v>
      </c>
      <c r="D55" s="49">
        <v>0</v>
      </c>
      <c r="E55" s="49"/>
      <c r="F55" s="49"/>
      <c r="G55" s="71">
        <v>0</v>
      </c>
      <c r="H55" s="49"/>
      <c r="I55" s="49"/>
      <c r="J55" s="33">
        <v>0</v>
      </c>
      <c r="K55" s="33">
        <v>0</v>
      </c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49"/>
      <c r="AB55" s="49"/>
      <c r="AC55" s="49"/>
      <c r="AD55" s="49"/>
      <c r="AE55" s="49"/>
      <c r="AF55" s="49"/>
      <c r="AG55" s="49"/>
      <c r="AH55" s="49"/>
      <c r="AI55" s="49"/>
      <c r="AJ55" s="49"/>
      <c r="AK55" s="49"/>
      <c r="AL55" s="49"/>
      <c r="AM55" s="49"/>
      <c r="AN55" s="49"/>
      <c r="AO55" s="49"/>
      <c r="AP55" s="49"/>
      <c r="AQ55" s="49"/>
      <c r="AR55" s="49"/>
      <c r="AS55" s="49"/>
    </row>
    <row r="56" spans="1:45" x14ac:dyDescent="0.35">
      <c r="A56" s="82" t="s">
        <v>272</v>
      </c>
      <c r="B56" s="82" t="s">
        <v>272</v>
      </c>
      <c r="C56" s="82" t="s">
        <v>272</v>
      </c>
      <c r="D56" s="82" t="s">
        <v>287</v>
      </c>
      <c r="E56" s="49"/>
      <c r="F56" s="49"/>
      <c r="G56" s="82" t="s">
        <v>272</v>
      </c>
      <c r="H56" s="49"/>
      <c r="I56" s="49"/>
      <c r="J56" s="82">
        <v>0</v>
      </c>
      <c r="K56" s="82" t="s">
        <v>272</v>
      </c>
      <c r="L56" s="49"/>
      <c r="M56" s="82" t="s">
        <v>272</v>
      </c>
      <c r="N56" s="49" t="s">
        <v>272</v>
      </c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  <c r="AA56" s="49"/>
      <c r="AB56" s="49"/>
      <c r="AC56" s="49"/>
      <c r="AD56" s="49"/>
      <c r="AE56" s="49"/>
      <c r="AF56" s="49"/>
      <c r="AG56" s="49"/>
      <c r="AH56" s="49"/>
      <c r="AI56" s="49"/>
      <c r="AJ56" s="49"/>
      <c r="AK56" s="49"/>
      <c r="AL56" s="49"/>
      <c r="AM56" s="49"/>
      <c r="AN56" s="49"/>
      <c r="AO56" s="49"/>
      <c r="AP56" s="49"/>
      <c r="AQ56" s="49"/>
      <c r="AR56" s="49"/>
      <c r="AS56" s="49"/>
    </row>
    <row r="57" spans="1:45" x14ac:dyDescent="0.35">
      <c r="A57" s="49" t="s">
        <v>258</v>
      </c>
      <c r="B57" s="49" t="s">
        <v>180</v>
      </c>
      <c r="C57" s="49" t="s">
        <v>258</v>
      </c>
      <c r="D57" s="71">
        <v>24283.320000000003</v>
      </c>
      <c r="E57" s="50"/>
      <c r="F57" s="49"/>
      <c r="G57" s="71">
        <v>759.45</v>
      </c>
      <c r="H57" s="50"/>
      <c r="I57" s="49"/>
      <c r="J57" s="71">
        <f t="shared" ref="J57" si="30">D57+G57</f>
        <v>25042.770000000004</v>
      </c>
      <c r="K57" s="72">
        <f t="shared" ref="K57" si="31">J57/1000</f>
        <v>25.042770000000004</v>
      </c>
      <c r="L57" s="49"/>
      <c r="M57" s="49" t="s">
        <v>258</v>
      </c>
      <c r="N57" s="49" t="s">
        <v>314</v>
      </c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  <c r="AA57" s="49"/>
      <c r="AB57" s="49"/>
      <c r="AC57" s="49"/>
      <c r="AD57" s="49"/>
      <c r="AE57" s="49"/>
      <c r="AF57" s="49"/>
      <c r="AG57" s="49"/>
      <c r="AH57" s="49"/>
      <c r="AI57" s="49"/>
      <c r="AJ57" s="49"/>
      <c r="AK57" s="49"/>
      <c r="AL57" s="49"/>
      <c r="AM57" s="49"/>
      <c r="AN57" s="49"/>
      <c r="AO57" s="49"/>
      <c r="AP57" s="49"/>
      <c r="AQ57" s="49"/>
      <c r="AR57" s="49"/>
      <c r="AS57" s="49"/>
    </row>
    <row r="58" spans="1:45" x14ac:dyDescent="0.35">
      <c r="A58" s="49" t="s">
        <v>259</v>
      </c>
      <c r="B58" s="49" t="s">
        <v>259</v>
      </c>
      <c r="C58" s="49" t="s">
        <v>259</v>
      </c>
      <c r="D58" s="49">
        <v>0</v>
      </c>
      <c r="E58" s="50"/>
      <c r="F58" s="49"/>
      <c r="G58" s="49">
        <v>0</v>
      </c>
      <c r="H58" s="50"/>
      <c r="I58" s="49"/>
      <c r="J58" s="71">
        <v>0</v>
      </c>
      <c r="K58" s="72">
        <v>0</v>
      </c>
      <c r="L58" s="49"/>
      <c r="M58" s="49" t="s">
        <v>259</v>
      </c>
      <c r="N58" s="49" t="s">
        <v>272</v>
      </c>
      <c r="O58" s="49"/>
      <c r="P58" s="49"/>
      <c r="Q58" s="49"/>
      <c r="R58" s="49"/>
      <c r="S58" s="49"/>
      <c r="T58" s="49"/>
      <c r="U58" s="49"/>
      <c r="V58" s="49"/>
      <c r="W58" s="49"/>
      <c r="X58" s="49"/>
      <c r="Y58" s="49"/>
      <c r="Z58" s="49"/>
      <c r="AA58" s="49"/>
      <c r="AB58" s="49"/>
      <c r="AC58" s="49"/>
      <c r="AD58" s="49"/>
      <c r="AE58" s="49"/>
      <c r="AF58" s="49"/>
      <c r="AG58" s="49"/>
      <c r="AH58" s="49"/>
      <c r="AI58" s="49"/>
      <c r="AJ58" s="49"/>
      <c r="AK58" s="49"/>
      <c r="AL58" s="49"/>
      <c r="AM58" s="49"/>
      <c r="AN58" s="49"/>
      <c r="AO58" s="49"/>
      <c r="AP58" s="49"/>
      <c r="AQ58" s="49"/>
      <c r="AR58" s="49"/>
      <c r="AS58" s="49"/>
    </row>
    <row r="59" spans="1:45" ht="21" x14ac:dyDescent="0.5">
      <c r="A59" s="79" t="s">
        <v>253</v>
      </c>
      <c r="B59" s="49"/>
      <c r="C59" s="82" t="s">
        <v>288</v>
      </c>
      <c r="D59" s="49">
        <v>0</v>
      </c>
      <c r="E59" s="49"/>
      <c r="F59" s="49"/>
      <c r="G59" s="71">
        <v>0</v>
      </c>
      <c r="H59" s="49"/>
      <c r="I59" s="49"/>
      <c r="J59" s="33">
        <v>0</v>
      </c>
      <c r="K59" s="33">
        <v>0</v>
      </c>
      <c r="L59" s="49"/>
      <c r="M59" s="49"/>
      <c r="N59" s="49"/>
      <c r="O59" s="49"/>
      <c r="P59" s="49"/>
      <c r="Q59" s="49"/>
      <c r="R59" s="49"/>
      <c r="S59" s="49"/>
      <c r="T59" s="49"/>
      <c r="U59" s="49"/>
      <c r="V59" s="49"/>
      <c r="W59" s="49"/>
      <c r="X59" s="49"/>
      <c r="Y59" s="49"/>
      <c r="Z59" s="49"/>
      <c r="AA59" s="49"/>
      <c r="AB59" s="49"/>
      <c r="AC59" s="49"/>
      <c r="AD59" s="49"/>
      <c r="AE59" s="49"/>
      <c r="AF59" s="49"/>
      <c r="AG59" s="49"/>
      <c r="AH59" s="49"/>
      <c r="AI59" s="49"/>
      <c r="AJ59" s="49"/>
      <c r="AK59" s="49"/>
      <c r="AL59" s="49"/>
      <c r="AM59" s="49"/>
      <c r="AN59" s="49"/>
      <c r="AO59" s="49"/>
      <c r="AP59" s="49"/>
      <c r="AQ59" s="49"/>
      <c r="AR59" s="49"/>
      <c r="AS59" s="49"/>
    </row>
    <row r="60" spans="1:45" x14ac:dyDescent="0.35">
      <c r="A60" s="82" t="s">
        <v>272</v>
      </c>
      <c r="B60" s="82" t="s">
        <v>272</v>
      </c>
      <c r="C60" s="82" t="s">
        <v>272</v>
      </c>
      <c r="D60" s="82" t="s">
        <v>287</v>
      </c>
      <c r="E60" s="82" t="s">
        <v>287</v>
      </c>
      <c r="F60" s="82" t="s">
        <v>287</v>
      </c>
      <c r="G60" s="82" t="s">
        <v>272</v>
      </c>
      <c r="H60" s="49"/>
      <c r="I60" s="82" t="s">
        <v>287</v>
      </c>
      <c r="J60" s="82">
        <v>0</v>
      </c>
      <c r="K60" s="82" t="s">
        <v>272</v>
      </c>
      <c r="L60" s="49"/>
      <c r="M60" s="82" t="s">
        <v>272</v>
      </c>
      <c r="N60" s="49" t="s">
        <v>272</v>
      </c>
      <c r="O60" s="49"/>
      <c r="P60" s="49"/>
      <c r="Q60" s="49"/>
      <c r="R60" s="49"/>
      <c r="S60" s="49"/>
      <c r="T60" s="49"/>
      <c r="U60" s="49"/>
      <c r="V60" s="49"/>
      <c r="W60" s="49"/>
      <c r="X60" s="49"/>
      <c r="Y60" s="49"/>
      <c r="Z60" s="49"/>
      <c r="AA60" s="49"/>
      <c r="AB60" s="49"/>
      <c r="AC60" s="49"/>
      <c r="AD60" s="49"/>
      <c r="AE60" s="49"/>
      <c r="AF60" s="49"/>
      <c r="AG60" s="49"/>
      <c r="AH60" s="49"/>
      <c r="AI60" s="49"/>
      <c r="AJ60" s="49"/>
      <c r="AK60" s="49"/>
      <c r="AL60" s="49"/>
      <c r="AM60" s="49"/>
      <c r="AN60" s="49"/>
      <c r="AO60" s="49"/>
      <c r="AP60" s="49"/>
      <c r="AQ60" s="49"/>
      <c r="AR60" s="49"/>
      <c r="AS60" s="49"/>
    </row>
    <row r="61" spans="1:45" x14ac:dyDescent="0.35">
      <c r="A61" s="49" t="s">
        <v>258</v>
      </c>
      <c r="B61" s="49" t="s">
        <v>180</v>
      </c>
      <c r="C61" s="49" t="s">
        <v>258</v>
      </c>
      <c r="D61" s="71">
        <v>14225.260000000002</v>
      </c>
      <c r="E61" s="50"/>
      <c r="F61" s="49"/>
      <c r="G61" s="71">
        <v>6630.4</v>
      </c>
      <c r="H61" s="50"/>
      <c r="I61" s="49"/>
      <c r="J61" s="71">
        <f>D61+G61</f>
        <v>20855.660000000003</v>
      </c>
      <c r="K61" s="72">
        <f>J61/1000</f>
        <v>20.855660000000004</v>
      </c>
      <c r="L61" s="49"/>
      <c r="M61" s="49" t="s">
        <v>258</v>
      </c>
      <c r="N61" s="49" t="s">
        <v>315</v>
      </c>
      <c r="O61" s="49"/>
      <c r="P61" s="49"/>
      <c r="Q61" s="49"/>
      <c r="R61" s="49"/>
      <c r="S61" s="49"/>
      <c r="T61" s="49"/>
      <c r="U61" s="49"/>
      <c r="V61" s="49"/>
      <c r="W61" s="49"/>
      <c r="X61" s="49"/>
      <c r="Y61" s="49"/>
      <c r="Z61" s="49"/>
      <c r="AA61" s="49"/>
      <c r="AB61" s="49"/>
      <c r="AC61" s="49"/>
      <c r="AD61" s="49"/>
      <c r="AE61" s="49"/>
      <c r="AF61" s="49"/>
      <c r="AG61" s="49"/>
      <c r="AH61" s="49"/>
      <c r="AI61" s="49"/>
      <c r="AJ61" s="49"/>
      <c r="AK61" s="49"/>
      <c r="AL61" s="49"/>
      <c r="AM61" s="49"/>
      <c r="AN61" s="49"/>
      <c r="AO61" s="49"/>
      <c r="AP61" s="49"/>
      <c r="AQ61" s="49"/>
      <c r="AR61" s="49"/>
      <c r="AS61" s="49"/>
    </row>
    <row r="62" spans="1:45" x14ac:dyDescent="0.35">
      <c r="A62" s="49" t="s">
        <v>259</v>
      </c>
      <c r="B62" s="49" t="s">
        <v>259</v>
      </c>
      <c r="C62" s="49" t="s">
        <v>259</v>
      </c>
      <c r="D62" s="49">
        <v>0</v>
      </c>
      <c r="E62" s="50"/>
      <c r="F62" s="49"/>
      <c r="G62" s="49">
        <v>0</v>
      </c>
      <c r="H62" s="50"/>
      <c r="I62" s="49"/>
      <c r="J62" s="71">
        <v>0</v>
      </c>
      <c r="K62" s="72">
        <v>0</v>
      </c>
      <c r="L62" s="49"/>
      <c r="M62" s="49" t="s">
        <v>259</v>
      </c>
      <c r="N62" s="49" t="s">
        <v>272</v>
      </c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49"/>
      <c r="Z62" s="49"/>
      <c r="AA62" s="49"/>
      <c r="AB62" s="49"/>
      <c r="AC62" s="49"/>
      <c r="AD62" s="49"/>
      <c r="AE62" s="49"/>
      <c r="AF62" s="49"/>
      <c r="AG62" s="49"/>
      <c r="AH62" s="49"/>
      <c r="AI62" s="49"/>
      <c r="AJ62" s="49"/>
      <c r="AK62" s="49"/>
      <c r="AL62" s="49"/>
      <c r="AM62" s="49"/>
      <c r="AN62" s="49"/>
      <c r="AO62" s="49"/>
      <c r="AP62" s="49"/>
      <c r="AQ62" s="49"/>
      <c r="AR62" s="49"/>
      <c r="AS62" s="49"/>
    </row>
    <row r="63" spans="1:45" ht="21" x14ac:dyDescent="0.5">
      <c r="A63" s="79" t="s">
        <v>256</v>
      </c>
      <c r="B63" s="49"/>
      <c r="C63" s="82" t="s">
        <v>272</v>
      </c>
      <c r="D63" s="49">
        <v>0</v>
      </c>
      <c r="E63" s="49"/>
      <c r="F63" s="49"/>
      <c r="G63" s="71">
        <v>0</v>
      </c>
      <c r="H63" s="49"/>
      <c r="I63" s="49"/>
      <c r="J63" s="33">
        <v>0</v>
      </c>
      <c r="K63" s="33">
        <v>0</v>
      </c>
      <c r="L63" s="49"/>
      <c r="M63" s="49"/>
      <c r="N63" s="49"/>
      <c r="O63" s="49"/>
      <c r="P63" s="49"/>
      <c r="Q63" s="49"/>
      <c r="R63" s="49"/>
      <c r="S63" s="49"/>
      <c r="T63" s="49"/>
      <c r="U63" s="49"/>
      <c r="V63" s="49"/>
      <c r="W63" s="49"/>
      <c r="X63" s="49"/>
      <c r="Y63" s="49"/>
      <c r="Z63" s="49"/>
      <c r="AA63" s="49"/>
      <c r="AB63" s="49"/>
      <c r="AC63" s="49"/>
      <c r="AD63" s="49"/>
      <c r="AE63" s="49"/>
      <c r="AF63" s="49"/>
      <c r="AG63" s="49"/>
      <c r="AH63" s="49"/>
      <c r="AI63" s="49"/>
      <c r="AJ63" s="49"/>
      <c r="AK63" s="49"/>
      <c r="AL63" s="49"/>
      <c r="AM63" s="49"/>
      <c r="AN63" s="49"/>
      <c r="AO63" s="49"/>
      <c r="AP63" s="49"/>
      <c r="AQ63" s="49"/>
      <c r="AR63" s="49"/>
      <c r="AS63" s="49"/>
    </row>
    <row r="64" spans="1:45" x14ac:dyDescent="0.35">
      <c r="A64" s="82" t="s">
        <v>272</v>
      </c>
      <c r="B64" s="82" t="s">
        <v>272</v>
      </c>
      <c r="C64" s="82" t="s">
        <v>272</v>
      </c>
      <c r="D64" s="82" t="s">
        <v>287</v>
      </c>
      <c r="E64" s="49"/>
      <c r="F64" s="49"/>
      <c r="G64" s="82" t="s">
        <v>272</v>
      </c>
      <c r="H64" s="49"/>
      <c r="I64" s="49"/>
      <c r="J64" s="82">
        <v>0</v>
      </c>
      <c r="K64" s="82" t="s">
        <v>272</v>
      </c>
      <c r="L64" s="49"/>
      <c r="M64" s="82" t="s">
        <v>272</v>
      </c>
      <c r="N64" s="49" t="s">
        <v>272</v>
      </c>
      <c r="O64" s="49"/>
      <c r="P64" s="49"/>
      <c r="Q64" s="49"/>
      <c r="R64" s="49"/>
      <c r="S64" s="49"/>
      <c r="T64" s="49"/>
      <c r="U64" s="49"/>
      <c r="V64" s="49"/>
      <c r="W64" s="49"/>
      <c r="X64" s="49"/>
      <c r="Y64" s="49"/>
      <c r="Z64" s="49"/>
      <c r="AA64" s="49"/>
      <c r="AB64" s="49"/>
      <c r="AC64" s="49"/>
      <c r="AD64" s="49"/>
      <c r="AE64" s="49"/>
      <c r="AF64" s="49"/>
      <c r="AG64" s="49"/>
      <c r="AH64" s="49"/>
      <c r="AI64" s="49"/>
      <c r="AJ64" s="49"/>
      <c r="AK64" s="49"/>
      <c r="AL64" s="49"/>
      <c r="AM64" s="49"/>
      <c r="AN64" s="49"/>
      <c r="AO64" s="49"/>
      <c r="AP64" s="49"/>
      <c r="AQ64" s="49"/>
      <c r="AR64" s="49"/>
      <c r="AS64" s="49"/>
    </row>
    <row r="65" spans="1:45" x14ac:dyDescent="0.35">
      <c r="A65" s="49" t="s">
        <v>258</v>
      </c>
      <c r="B65" s="49" t="s">
        <v>180</v>
      </c>
      <c r="C65" s="49" t="s">
        <v>258</v>
      </c>
      <c r="D65" s="68">
        <v>35746.125</v>
      </c>
      <c r="E65" s="50"/>
      <c r="F65" s="49"/>
      <c r="G65" s="71">
        <v>0</v>
      </c>
      <c r="H65" s="50"/>
      <c r="I65" s="49"/>
      <c r="J65" s="71">
        <f>D65+G65</f>
        <v>35746.125</v>
      </c>
      <c r="K65" s="72">
        <f>J65/1000</f>
        <v>35.746124999999999</v>
      </c>
      <c r="L65" s="49"/>
      <c r="M65" s="49" t="s">
        <v>258</v>
      </c>
      <c r="N65" s="49" t="s">
        <v>316</v>
      </c>
      <c r="O65" s="49"/>
      <c r="P65" s="49"/>
      <c r="Q65" s="49"/>
      <c r="R65" s="49"/>
      <c r="S65" s="49"/>
      <c r="T65" s="49"/>
      <c r="U65" s="49"/>
      <c r="V65" s="49"/>
      <c r="W65" s="49"/>
      <c r="X65" s="49"/>
      <c r="Y65" s="49"/>
      <c r="Z65" s="49"/>
      <c r="AA65" s="49"/>
      <c r="AB65" s="49"/>
      <c r="AC65" s="49"/>
      <c r="AD65" s="49"/>
      <c r="AE65" s="49"/>
      <c r="AF65" s="49"/>
      <c r="AG65" s="49"/>
      <c r="AH65" s="49"/>
      <c r="AI65" s="49"/>
      <c r="AJ65" s="49"/>
      <c r="AK65" s="49"/>
      <c r="AL65" s="49"/>
      <c r="AM65" s="49"/>
      <c r="AN65" s="49"/>
      <c r="AO65" s="49"/>
      <c r="AP65" s="49"/>
      <c r="AQ65" s="49"/>
      <c r="AR65" s="49"/>
      <c r="AS65" s="49"/>
    </row>
    <row r="66" spans="1:45" x14ac:dyDescent="0.35">
      <c r="A66" s="49" t="s">
        <v>259</v>
      </c>
      <c r="B66" s="49" t="s">
        <v>259</v>
      </c>
      <c r="C66" s="49" t="s">
        <v>259</v>
      </c>
      <c r="D66" s="49">
        <v>0</v>
      </c>
      <c r="E66" s="50"/>
      <c r="F66" s="49"/>
      <c r="G66" s="49">
        <v>0</v>
      </c>
      <c r="H66" s="50"/>
      <c r="I66" s="49"/>
      <c r="J66" s="49">
        <v>0</v>
      </c>
      <c r="K66" s="49">
        <v>0</v>
      </c>
      <c r="L66" s="49"/>
      <c r="M66" s="49" t="s">
        <v>259</v>
      </c>
      <c r="N66" s="49" t="s">
        <v>272</v>
      </c>
      <c r="O66" s="49"/>
      <c r="P66" s="49"/>
      <c r="Q66" s="49"/>
      <c r="R66" s="49"/>
      <c r="S66" s="49"/>
      <c r="T66" s="49"/>
      <c r="U66" s="49"/>
      <c r="V66" s="49"/>
      <c r="W66" s="49"/>
      <c r="X66" s="49"/>
      <c r="Y66" s="49"/>
      <c r="Z66" s="49"/>
      <c r="AA66" s="49"/>
      <c r="AB66" s="49"/>
      <c r="AC66" s="49"/>
      <c r="AD66" s="49"/>
      <c r="AE66" s="49"/>
      <c r="AF66" s="49"/>
      <c r="AG66" s="49"/>
      <c r="AH66" s="49"/>
      <c r="AI66" s="49"/>
      <c r="AJ66" s="49"/>
      <c r="AK66" s="49"/>
      <c r="AL66" s="49"/>
      <c r="AM66" s="49"/>
      <c r="AN66" s="49"/>
      <c r="AO66" s="49"/>
      <c r="AP66" s="49"/>
      <c r="AQ66" s="49"/>
      <c r="AR66" s="49"/>
      <c r="AS66" s="49"/>
    </row>
    <row r="67" spans="1:45" x14ac:dyDescent="0.35">
      <c r="A67" s="49"/>
      <c r="B67" s="49"/>
      <c r="C67" s="49"/>
      <c r="D67" s="49"/>
      <c r="E67" s="49"/>
      <c r="F67" s="49"/>
      <c r="G67" s="49"/>
      <c r="H67" s="49"/>
      <c r="I67" s="49"/>
      <c r="J67" s="49"/>
      <c r="K67" s="49"/>
      <c r="L67" s="49"/>
      <c r="M67" s="49"/>
      <c r="N67" s="49"/>
      <c r="O67" s="49"/>
      <c r="P67" s="49"/>
      <c r="Q67" s="49"/>
      <c r="R67" s="49"/>
      <c r="S67" s="49"/>
      <c r="T67" s="49"/>
      <c r="U67" s="49"/>
      <c r="V67" s="49"/>
      <c r="W67" s="49"/>
      <c r="X67" s="49"/>
      <c r="Y67" s="49"/>
      <c r="Z67" s="49"/>
      <c r="AA67" s="49"/>
      <c r="AB67" s="49"/>
      <c r="AC67" s="49"/>
      <c r="AD67" s="49"/>
      <c r="AE67" s="49"/>
      <c r="AF67" s="49"/>
      <c r="AG67" s="49"/>
      <c r="AH67" s="49"/>
      <c r="AI67" s="49"/>
      <c r="AJ67" s="49"/>
      <c r="AK67" s="49"/>
      <c r="AL67" s="49"/>
      <c r="AM67" s="49"/>
      <c r="AN67" s="49"/>
      <c r="AO67" s="49"/>
      <c r="AP67" s="49"/>
      <c r="AQ67" s="49"/>
      <c r="AR67" s="49"/>
      <c r="AS67" s="49"/>
    </row>
    <row r="68" spans="1:45" x14ac:dyDescent="0.35">
      <c r="A68" s="49"/>
      <c r="B68" s="49"/>
      <c r="C68" s="49"/>
      <c r="D68" s="49"/>
      <c r="E68" s="49"/>
      <c r="F68" s="49"/>
      <c r="G68" s="49"/>
      <c r="H68" s="49"/>
      <c r="I68" s="49"/>
      <c r="J68" s="49"/>
      <c r="K68" s="49"/>
      <c r="L68" s="49"/>
      <c r="M68" s="49"/>
      <c r="N68" s="49"/>
      <c r="O68" s="49"/>
      <c r="P68" s="49"/>
      <c r="Q68" s="49"/>
      <c r="R68" s="49"/>
      <c r="S68" s="49"/>
      <c r="T68" s="49"/>
      <c r="U68" s="49"/>
      <c r="V68" s="49"/>
      <c r="W68" s="49"/>
      <c r="X68" s="49"/>
      <c r="Y68" s="49"/>
      <c r="Z68" s="49"/>
      <c r="AA68" s="49"/>
      <c r="AB68" s="49"/>
      <c r="AC68" s="49"/>
      <c r="AD68" s="49"/>
      <c r="AE68" s="49"/>
      <c r="AF68" s="49"/>
      <c r="AG68" s="49"/>
      <c r="AH68" s="49"/>
      <c r="AI68" s="49"/>
      <c r="AJ68" s="49"/>
      <c r="AK68" s="49"/>
      <c r="AL68" s="49"/>
      <c r="AM68" s="49"/>
      <c r="AN68" s="49"/>
      <c r="AO68" s="49"/>
      <c r="AP68" s="49"/>
      <c r="AQ68" s="49"/>
      <c r="AR68" s="49"/>
      <c r="AS68" s="49"/>
    </row>
    <row r="69" spans="1:45" ht="15" thickBot="1" x14ac:dyDescent="0.4">
      <c r="A69" s="49"/>
      <c r="B69" s="49"/>
      <c r="C69" s="49"/>
      <c r="D69" s="49"/>
      <c r="E69" s="49"/>
      <c r="F69" s="49"/>
      <c r="G69" s="49"/>
      <c r="H69" s="49"/>
      <c r="I69" s="49"/>
      <c r="J69" s="49"/>
      <c r="K69" s="49"/>
      <c r="L69" s="49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49"/>
      <c r="Y69" s="49"/>
      <c r="Z69" s="49"/>
      <c r="AA69" s="49"/>
      <c r="AB69" s="49"/>
      <c r="AC69" s="49"/>
      <c r="AD69" s="49"/>
      <c r="AE69" s="49"/>
      <c r="AF69" s="49"/>
      <c r="AG69" s="49"/>
      <c r="AH69" s="49"/>
      <c r="AI69" s="49"/>
      <c r="AJ69" s="49"/>
      <c r="AK69" s="49"/>
      <c r="AL69" s="49"/>
      <c r="AM69" s="49"/>
      <c r="AN69" s="49"/>
      <c r="AO69" s="49"/>
      <c r="AP69" s="49"/>
      <c r="AQ69" s="49"/>
      <c r="AR69" s="49"/>
      <c r="AS69" s="49"/>
    </row>
    <row r="70" spans="1:45" x14ac:dyDescent="0.35">
      <c r="A70" s="49"/>
      <c r="B70" s="49"/>
      <c r="C70" s="83" t="s">
        <v>333</v>
      </c>
      <c r="D70" s="84" t="s">
        <v>339</v>
      </c>
      <c r="E70" s="85" t="s">
        <v>340</v>
      </c>
      <c r="F70" s="49"/>
      <c r="G70" s="49"/>
      <c r="H70" s="49"/>
      <c r="I70" s="49"/>
      <c r="J70" s="49"/>
      <c r="K70" s="49"/>
      <c r="L70" s="49"/>
      <c r="M70" s="49"/>
      <c r="N70" s="49"/>
      <c r="O70" s="49"/>
      <c r="P70" s="49"/>
      <c r="Q70" s="49"/>
      <c r="R70" s="49"/>
      <c r="S70" s="49"/>
      <c r="T70" s="49"/>
      <c r="U70" s="49"/>
      <c r="V70" s="49"/>
      <c r="W70" s="49"/>
      <c r="X70" s="49"/>
      <c r="Y70" s="49"/>
      <c r="Z70" s="49"/>
      <c r="AA70" s="49"/>
      <c r="AB70" s="49"/>
      <c r="AC70" s="49"/>
      <c r="AD70" s="49"/>
      <c r="AE70" s="49"/>
      <c r="AF70" s="49"/>
      <c r="AG70" s="49"/>
      <c r="AH70" s="49"/>
      <c r="AI70" s="49"/>
      <c r="AJ70" s="49"/>
      <c r="AK70" s="49"/>
      <c r="AL70" s="49"/>
      <c r="AM70" s="49"/>
      <c r="AN70" s="49"/>
      <c r="AO70" s="49"/>
      <c r="AP70" s="49"/>
      <c r="AQ70" s="49"/>
      <c r="AR70" s="49"/>
      <c r="AS70" s="49"/>
    </row>
    <row r="71" spans="1:45" x14ac:dyDescent="0.35">
      <c r="A71" s="49"/>
      <c r="B71" s="49"/>
      <c r="C71" s="86" t="s">
        <v>334</v>
      </c>
      <c r="D71" s="68">
        <f>L7/1000</f>
        <v>7.9429999999999996</v>
      </c>
      <c r="E71" s="87">
        <f>M7/1000</f>
        <v>63.543999999999997</v>
      </c>
      <c r="F71" s="49"/>
      <c r="G71" s="49"/>
      <c r="H71" s="49"/>
      <c r="I71" s="49"/>
      <c r="J71" s="49"/>
      <c r="K71" s="49"/>
      <c r="L71" s="49"/>
      <c r="M71" s="49"/>
      <c r="N71" s="49"/>
      <c r="O71" s="49"/>
      <c r="P71" s="49"/>
      <c r="Q71" s="49"/>
      <c r="R71" s="49"/>
      <c r="S71" s="49"/>
      <c r="T71" s="49"/>
      <c r="U71" s="49"/>
      <c r="V71" s="49"/>
      <c r="W71" s="49"/>
      <c r="X71" s="49"/>
      <c r="Y71" s="49"/>
      <c r="Z71" s="49"/>
      <c r="AA71" s="49"/>
      <c r="AB71" s="49"/>
      <c r="AC71" s="49"/>
      <c r="AD71" s="49"/>
      <c r="AE71" s="49"/>
      <c r="AF71" s="49"/>
      <c r="AG71" s="49"/>
      <c r="AH71" s="49"/>
      <c r="AI71" s="49"/>
      <c r="AJ71" s="49"/>
      <c r="AK71" s="49"/>
      <c r="AL71" s="49"/>
      <c r="AM71" s="49"/>
      <c r="AN71" s="49"/>
      <c r="AO71" s="49"/>
      <c r="AP71" s="49"/>
      <c r="AQ71" s="49"/>
      <c r="AR71" s="49"/>
      <c r="AS71" s="49"/>
    </row>
    <row r="72" spans="1:45" x14ac:dyDescent="0.35">
      <c r="A72" s="49"/>
      <c r="B72" s="49"/>
      <c r="C72" s="86" t="s">
        <v>335</v>
      </c>
      <c r="D72" s="68">
        <f t="shared" ref="D72:E72" si="32">L8/1000</f>
        <v>11.938000000000001</v>
      </c>
      <c r="E72" s="87">
        <f t="shared" si="32"/>
        <v>95.504000000000005</v>
      </c>
      <c r="F72" s="49"/>
      <c r="G72" s="49"/>
      <c r="H72" s="49"/>
      <c r="I72" s="49"/>
      <c r="J72" s="49"/>
      <c r="K72" s="49"/>
      <c r="L72" s="49"/>
      <c r="M72" s="49"/>
      <c r="N72" s="49"/>
      <c r="O72" s="49"/>
      <c r="P72" s="49"/>
      <c r="Q72" s="49"/>
      <c r="R72" s="49"/>
      <c r="S72" s="49"/>
      <c r="T72" s="49"/>
      <c r="U72" s="49"/>
      <c r="V72" s="49"/>
      <c r="W72" s="49"/>
      <c r="X72" s="49"/>
      <c r="Y72" s="49"/>
      <c r="Z72" s="49"/>
      <c r="AA72" s="49"/>
      <c r="AB72" s="49"/>
      <c r="AC72" s="49"/>
      <c r="AD72" s="49"/>
      <c r="AE72" s="49"/>
      <c r="AF72" s="49"/>
      <c r="AG72" s="49"/>
      <c r="AH72" s="49"/>
      <c r="AI72" s="49"/>
      <c r="AJ72" s="49"/>
      <c r="AK72" s="49"/>
      <c r="AL72" s="49"/>
      <c r="AM72" s="49"/>
      <c r="AN72" s="49"/>
      <c r="AO72" s="49"/>
      <c r="AP72" s="49"/>
      <c r="AQ72" s="49"/>
      <c r="AR72" s="49"/>
      <c r="AS72" s="49"/>
    </row>
    <row r="73" spans="1:45" x14ac:dyDescent="0.35">
      <c r="A73" s="49"/>
      <c r="B73" s="49"/>
      <c r="C73" s="86" t="s">
        <v>336</v>
      </c>
      <c r="D73" s="68">
        <f t="shared" ref="D73:E73" si="33">L9/1000</f>
        <v>20.398</v>
      </c>
      <c r="E73" s="87">
        <f t="shared" si="33"/>
        <v>163.184</v>
      </c>
      <c r="F73" s="49"/>
      <c r="G73" s="49"/>
      <c r="H73" s="49"/>
      <c r="I73" s="49"/>
      <c r="J73" s="49"/>
      <c r="K73" s="49"/>
      <c r="L73" s="49"/>
      <c r="M73" s="49"/>
      <c r="N73" s="49"/>
      <c r="O73" s="49"/>
      <c r="P73" s="49"/>
      <c r="Q73" s="49"/>
      <c r="R73" s="49"/>
      <c r="S73" s="49"/>
      <c r="T73" s="49"/>
      <c r="U73" s="49"/>
      <c r="V73" s="49"/>
      <c r="W73" s="49"/>
      <c r="X73" s="49"/>
      <c r="Y73" s="49"/>
      <c r="Z73" s="49"/>
      <c r="AA73" s="49"/>
      <c r="AB73" s="49"/>
      <c r="AC73" s="49"/>
      <c r="AD73" s="49"/>
      <c r="AE73" s="49"/>
      <c r="AF73" s="49"/>
      <c r="AG73" s="49"/>
      <c r="AH73" s="49"/>
      <c r="AI73" s="49"/>
      <c r="AJ73" s="49"/>
      <c r="AK73" s="49"/>
      <c r="AL73" s="49"/>
      <c r="AM73" s="49"/>
      <c r="AN73" s="49"/>
      <c r="AO73" s="49"/>
      <c r="AP73" s="49"/>
      <c r="AQ73" s="49"/>
      <c r="AR73" s="49"/>
      <c r="AS73" s="49"/>
    </row>
    <row r="74" spans="1:45" x14ac:dyDescent="0.35">
      <c r="A74" s="49"/>
      <c r="B74" s="49"/>
      <c r="C74" s="86" t="s">
        <v>337</v>
      </c>
      <c r="D74" s="68">
        <f t="shared" ref="D74:E74" si="34">L10/1000</f>
        <v>30.221</v>
      </c>
      <c r="E74" s="87">
        <f t="shared" si="34"/>
        <v>241.768</v>
      </c>
      <c r="F74" s="49"/>
      <c r="G74" s="49"/>
      <c r="H74" s="49"/>
      <c r="I74" s="49"/>
      <c r="J74" s="49"/>
      <c r="K74" s="49"/>
      <c r="L74" s="49"/>
      <c r="M74" s="49"/>
      <c r="N74" s="49"/>
      <c r="O74" s="49"/>
      <c r="P74" s="49"/>
      <c r="Q74" s="49"/>
      <c r="R74" s="49"/>
      <c r="S74" s="49"/>
      <c r="T74" s="49"/>
      <c r="U74" s="49"/>
      <c r="V74" s="49"/>
      <c r="W74" s="49"/>
      <c r="X74" s="49"/>
      <c r="Y74" s="49"/>
      <c r="Z74" s="49"/>
      <c r="AA74" s="49"/>
      <c r="AB74" s="49"/>
      <c r="AC74" s="49"/>
      <c r="AD74" s="49"/>
      <c r="AE74" s="49"/>
      <c r="AF74" s="49"/>
      <c r="AG74" s="49"/>
      <c r="AH74" s="49"/>
      <c r="AI74" s="49"/>
      <c r="AJ74" s="49"/>
      <c r="AK74" s="49"/>
      <c r="AL74" s="49"/>
      <c r="AM74" s="49"/>
      <c r="AN74" s="49"/>
      <c r="AO74" s="49"/>
      <c r="AP74" s="49"/>
      <c r="AQ74" s="49"/>
      <c r="AR74" s="49"/>
      <c r="AS74" s="49"/>
    </row>
    <row r="75" spans="1:45" ht="15" thickBot="1" x14ac:dyDescent="0.4">
      <c r="A75" s="49"/>
      <c r="B75" s="49"/>
      <c r="C75" s="88" t="s">
        <v>338</v>
      </c>
      <c r="D75" s="89">
        <f t="shared" ref="D75:E75" si="35">L11/1000</f>
        <v>40.561</v>
      </c>
      <c r="E75" s="90">
        <f t="shared" si="35"/>
        <v>324.488</v>
      </c>
      <c r="F75" s="49"/>
      <c r="G75" s="49"/>
      <c r="H75" s="49"/>
      <c r="I75" s="49"/>
      <c r="J75" s="49"/>
      <c r="K75" s="49"/>
      <c r="L75" s="49"/>
      <c r="M75" s="49"/>
      <c r="N75" s="49"/>
      <c r="O75" s="49"/>
      <c r="P75" s="49"/>
      <c r="Q75" s="49"/>
      <c r="R75" s="49"/>
      <c r="S75" s="49"/>
      <c r="T75" s="49"/>
      <c r="U75" s="49"/>
      <c r="V75" s="49"/>
      <c r="W75" s="49"/>
      <c r="X75" s="49"/>
      <c r="Y75" s="49"/>
      <c r="Z75" s="49"/>
      <c r="AA75" s="49"/>
      <c r="AB75" s="49"/>
      <c r="AC75" s="49"/>
      <c r="AD75" s="49"/>
      <c r="AE75" s="49"/>
      <c r="AF75" s="49"/>
      <c r="AG75" s="49"/>
      <c r="AH75" s="49"/>
      <c r="AI75" s="49"/>
      <c r="AJ75" s="49"/>
      <c r="AK75" s="49"/>
      <c r="AL75" s="49"/>
      <c r="AM75" s="49"/>
      <c r="AN75" s="49"/>
      <c r="AO75" s="49"/>
      <c r="AP75" s="49"/>
      <c r="AQ75" s="49"/>
      <c r="AR75" s="49"/>
      <c r="AS75" s="49"/>
    </row>
    <row r="76" spans="1:45" x14ac:dyDescent="0.35">
      <c r="A76" s="49"/>
      <c r="B76" s="49"/>
      <c r="C76" s="49"/>
      <c r="D76" s="71"/>
      <c r="E76" s="71"/>
      <c r="F76" s="49"/>
      <c r="G76" s="49"/>
      <c r="H76" s="49"/>
      <c r="I76" s="49"/>
      <c r="J76" s="49"/>
      <c r="K76" s="49"/>
      <c r="L76" s="49"/>
      <c r="M76" s="49"/>
      <c r="N76" s="49"/>
      <c r="O76" s="49"/>
      <c r="P76" s="49"/>
      <c r="Q76" s="49"/>
      <c r="R76" s="49"/>
      <c r="S76" s="49"/>
      <c r="T76" s="49"/>
      <c r="U76" s="49"/>
      <c r="V76" s="49"/>
      <c r="W76" s="49"/>
      <c r="X76" s="49"/>
      <c r="Y76" s="49"/>
      <c r="Z76" s="49"/>
      <c r="AA76" s="49"/>
      <c r="AB76" s="49"/>
      <c r="AC76" s="49"/>
      <c r="AD76" s="49"/>
      <c r="AE76" s="49"/>
      <c r="AF76" s="49"/>
      <c r="AG76" s="49"/>
      <c r="AH76" s="49"/>
      <c r="AI76" s="49"/>
      <c r="AJ76" s="49"/>
      <c r="AK76" s="49"/>
      <c r="AL76" s="49"/>
      <c r="AM76" s="49"/>
      <c r="AN76" s="49"/>
      <c r="AO76" s="49"/>
      <c r="AP76" s="49"/>
      <c r="AQ76" s="49"/>
      <c r="AR76" s="49"/>
      <c r="AS76" s="49"/>
    </row>
    <row r="77" spans="1:45" x14ac:dyDescent="0.35">
      <c r="A77" s="49"/>
      <c r="B77" s="49"/>
      <c r="C77" s="49"/>
      <c r="D77" s="71"/>
      <c r="E77" s="71"/>
      <c r="F77" s="49"/>
      <c r="G77" s="49"/>
      <c r="H77" s="49"/>
      <c r="I77" s="49"/>
      <c r="J77" s="49"/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49"/>
      <c r="W77" s="49"/>
      <c r="X77" s="49"/>
      <c r="Y77" s="49"/>
      <c r="Z77" s="49"/>
      <c r="AA77" s="49"/>
      <c r="AB77" s="49"/>
      <c r="AC77" s="49"/>
      <c r="AD77" s="49"/>
      <c r="AE77" s="49"/>
      <c r="AF77" s="49"/>
      <c r="AG77" s="49"/>
      <c r="AH77" s="49"/>
      <c r="AI77" s="49"/>
      <c r="AJ77" s="49"/>
      <c r="AK77" s="49"/>
      <c r="AL77" s="49"/>
      <c r="AM77" s="49"/>
      <c r="AN77" s="49"/>
      <c r="AO77" s="49"/>
      <c r="AP77" s="49"/>
      <c r="AQ77" s="49"/>
      <c r="AR77" s="49"/>
      <c r="AS77" s="49"/>
    </row>
    <row r="78" spans="1:45" x14ac:dyDescent="0.35">
      <c r="A78" s="49"/>
      <c r="B78" s="49"/>
      <c r="C78" s="49"/>
      <c r="D78" s="49"/>
      <c r="E78" s="49"/>
      <c r="F78" s="49"/>
      <c r="G78" s="49"/>
      <c r="H78" s="49"/>
      <c r="I78" s="49"/>
      <c r="J78" s="49"/>
      <c r="K78" s="49"/>
      <c r="L78" s="49"/>
      <c r="M78" s="49"/>
      <c r="N78" s="49"/>
      <c r="O78" s="49"/>
      <c r="P78" s="49"/>
      <c r="Q78" s="49"/>
      <c r="R78" s="49"/>
      <c r="S78" s="49"/>
      <c r="T78" s="49"/>
      <c r="U78" s="49"/>
      <c r="V78" s="49"/>
      <c r="W78" s="49"/>
      <c r="X78" s="49"/>
      <c r="Y78" s="49"/>
      <c r="Z78" s="49"/>
      <c r="AA78" s="49"/>
      <c r="AB78" s="49"/>
      <c r="AC78" s="49"/>
      <c r="AD78" s="49"/>
      <c r="AE78" s="49"/>
      <c r="AF78" s="49"/>
      <c r="AG78" s="49"/>
      <c r="AH78" s="49"/>
      <c r="AI78" s="49"/>
      <c r="AJ78" s="49"/>
      <c r="AK78" s="49"/>
      <c r="AL78" s="49"/>
      <c r="AM78" s="49"/>
      <c r="AN78" s="49"/>
      <c r="AO78" s="49"/>
      <c r="AP78" s="49"/>
      <c r="AQ78" s="49"/>
      <c r="AR78" s="49"/>
      <c r="AS78" s="49"/>
    </row>
    <row r="79" spans="1:45" x14ac:dyDescent="0.35">
      <c r="A79" s="49"/>
      <c r="B79" s="49"/>
      <c r="C79" s="49"/>
      <c r="D79" s="49"/>
      <c r="E79" s="49"/>
      <c r="F79" s="49"/>
      <c r="G79" s="49"/>
      <c r="H79" s="49"/>
      <c r="I79" s="49"/>
      <c r="J79" s="49"/>
      <c r="K79" s="49"/>
      <c r="L79" s="49"/>
      <c r="M79" s="49"/>
      <c r="N79" s="49"/>
      <c r="O79" s="49"/>
      <c r="P79" s="49"/>
      <c r="Q79" s="49"/>
      <c r="R79" s="49"/>
      <c r="S79" s="49"/>
      <c r="T79" s="49"/>
      <c r="U79" s="49"/>
      <c r="V79" s="49"/>
      <c r="W79" s="49"/>
      <c r="X79" s="49"/>
      <c r="Y79" s="49"/>
      <c r="Z79" s="49"/>
      <c r="AA79" s="49"/>
      <c r="AB79" s="49"/>
      <c r="AC79" s="49"/>
      <c r="AD79" s="49"/>
      <c r="AE79" s="49"/>
      <c r="AF79" s="49"/>
      <c r="AG79" s="49"/>
      <c r="AH79" s="49"/>
      <c r="AI79" s="49"/>
      <c r="AJ79" s="49"/>
      <c r="AK79" s="49"/>
      <c r="AL79" s="49"/>
      <c r="AM79" s="49"/>
      <c r="AN79" s="49"/>
      <c r="AO79" s="49"/>
      <c r="AP79" s="49"/>
      <c r="AQ79" s="49"/>
      <c r="AR79" s="49"/>
      <c r="AS79" s="49"/>
    </row>
    <row r="80" spans="1:45" x14ac:dyDescent="0.35">
      <c r="A80" s="49"/>
      <c r="B80" s="49"/>
      <c r="C80" s="49"/>
      <c r="D80" s="49"/>
      <c r="E80" s="49"/>
      <c r="F80" s="49"/>
      <c r="G80" s="49"/>
      <c r="H80" s="49"/>
      <c r="I80" s="49"/>
      <c r="J80" s="49"/>
      <c r="K80" s="49"/>
      <c r="L80" s="49"/>
      <c r="M80" s="49"/>
      <c r="N80" s="49"/>
      <c r="O80" s="49"/>
      <c r="P80" s="49"/>
      <c r="Q80" s="49"/>
      <c r="R80" s="49"/>
      <c r="S80" s="49"/>
      <c r="T80" s="49"/>
      <c r="U80" s="49"/>
      <c r="V80" s="49"/>
      <c r="W80" s="49"/>
      <c r="X80" s="49"/>
      <c r="Y80" s="49"/>
      <c r="Z80" s="49"/>
      <c r="AA80" s="49"/>
      <c r="AB80" s="49"/>
      <c r="AC80" s="49"/>
      <c r="AD80" s="49"/>
      <c r="AE80" s="49"/>
      <c r="AF80" s="49"/>
      <c r="AG80" s="49"/>
      <c r="AH80" s="49"/>
      <c r="AI80" s="49"/>
      <c r="AJ80" s="49"/>
      <c r="AK80" s="49"/>
      <c r="AL80" s="49"/>
      <c r="AM80" s="49"/>
      <c r="AN80" s="49"/>
      <c r="AO80" s="49"/>
      <c r="AP80" s="49"/>
      <c r="AQ80" s="49"/>
      <c r="AR80" s="49"/>
      <c r="AS80" s="49"/>
    </row>
    <row r="81" spans="1:45" x14ac:dyDescent="0.35">
      <c r="A81" s="49"/>
      <c r="B81" s="49"/>
      <c r="C81" s="49"/>
      <c r="D81" s="49"/>
      <c r="E81" s="49"/>
      <c r="F81" s="49"/>
      <c r="G81" s="49"/>
      <c r="H81" s="49"/>
      <c r="I81" s="49"/>
      <c r="J81" s="49"/>
      <c r="K81" s="49"/>
      <c r="L81" s="49"/>
      <c r="M81" s="49"/>
      <c r="N81" s="49"/>
      <c r="O81" s="49"/>
      <c r="P81" s="49"/>
      <c r="Q81" s="49"/>
      <c r="R81" s="49"/>
      <c r="S81" s="49"/>
      <c r="T81" s="49"/>
      <c r="U81" s="49"/>
      <c r="V81" s="49"/>
      <c r="W81" s="49"/>
      <c r="X81" s="49"/>
      <c r="Y81" s="49"/>
      <c r="Z81" s="49"/>
      <c r="AA81" s="49"/>
      <c r="AB81" s="49"/>
      <c r="AC81" s="49"/>
      <c r="AD81" s="49"/>
      <c r="AE81" s="49"/>
      <c r="AF81" s="49"/>
      <c r="AG81" s="49"/>
      <c r="AH81" s="49"/>
      <c r="AI81" s="49"/>
      <c r="AJ81" s="49"/>
      <c r="AK81" s="49"/>
      <c r="AL81" s="49"/>
      <c r="AM81" s="49"/>
      <c r="AN81" s="49"/>
      <c r="AO81" s="49"/>
      <c r="AP81" s="49"/>
      <c r="AQ81" s="49"/>
      <c r="AR81" s="49"/>
      <c r="AS81" s="49"/>
    </row>
    <row r="82" spans="1:45" x14ac:dyDescent="0.35">
      <c r="A82" s="49"/>
      <c r="B82" s="49"/>
      <c r="C82" s="49"/>
      <c r="D82" s="49"/>
      <c r="E82" s="49"/>
      <c r="F82" s="49"/>
      <c r="G82" s="49"/>
      <c r="H82" s="49"/>
      <c r="I82" s="49"/>
      <c r="J82" s="49"/>
      <c r="K82" s="49"/>
      <c r="L82" s="49"/>
      <c r="M82" s="49"/>
      <c r="N82" s="49"/>
      <c r="O82" s="49"/>
      <c r="P82" s="49"/>
      <c r="Q82" s="49"/>
      <c r="R82" s="49"/>
      <c r="S82" s="49"/>
      <c r="T82" s="49"/>
      <c r="U82" s="49"/>
      <c r="V82" s="49"/>
      <c r="W82" s="49"/>
      <c r="X82" s="49"/>
      <c r="Y82" s="49"/>
      <c r="Z82" s="49"/>
      <c r="AA82" s="49"/>
      <c r="AB82" s="49"/>
      <c r="AC82" s="49"/>
      <c r="AD82" s="49"/>
      <c r="AE82" s="49"/>
      <c r="AF82" s="49"/>
      <c r="AG82" s="49"/>
      <c r="AH82" s="49"/>
      <c r="AI82" s="49"/>
      <c r="AJ82" s="49"/>
      <c r="AK82" s="49"/>
      <c r="AL82" s="49"/>
      <c r="AM82" s="49"/>
      <c r="AN82" s="49"/>
      <c r="AO82" s="49"/>
      <c r="AP82" s="49"/>
      <c r="AQ82" s="49"/>
      <c r="AR82" s="49"/>
      <c r="AS82" s="49"/>
    </row>
    <row r="83" spans="1:45" x14ac:dyDescent="0.35">
      <c r="A83" s="49"/>
      <c r="B83" s="49"/>
      <c r="C83" s="49"/>
      <c r="D83" s="49"/>
      <c r="E83" s="49"/>
      <c r="F83" s="49"/>
      <c r="G83" s="49"/>
      <c r="H83" s="49"/>
      <c r="I83" s="49"/>
      <c r="J83" s="49"/>
      <c r="K83" s="49"/>
      <c r="L83" s="49"/>
      <c r="M83" s="49"/>
      <c r="N83" s="49"/>
      <c r="O83" s="49"/>
      <c r="P83" s="49"/>
      <c r="Q83" s="49"/>
      <c r="R83" s="49"/>
      <c r="S83" s="49"/>
      <c r="T83" s="49"/>
      <c r="U83" s="49"/>
      <c r="V83" s="49"/>
      <c r="W83" s="49"/>
      <c r="X83" s="49"/>
      <c r="Y83" s="49"/>
      <c r="Z83" s="49"/>
      <c r="AA83" s="49"/>
      <c r="AB83" s="49"/>
      <c r="AC83" s="49"/>
      <c r="AD83" s="49"/>
      <c r="AE83" s="49"/>
      <c r="AF83" s="49"/>
      <c r="AG83" s="49"/>
      <c r="AH83" s="49"/>
      <c r="AI83" s="49"/>
      <c r="AJ83" s="49"/>
      <c r="AK83" s="49"/>
      <c r="AL83" s="49"/>
      <c r="AM83" s="49"/>
      <c r="AN83" s="49"/>
      <c r="AO83" s="49"/>
      <c r="AP83" s="49"/>
      <c r="AQ83" s="49"/>
      <c r="AR83" s="49"/>
      <c r="AS83" s="49"/>
    </row>
    <row r="84" spans="1:45" x14ac:dyDescent="0.35">
      <c r="A84" s="49"/>
      <c r="B84" s="49"/>
      <c r="C84" s="49"/>
      <c r="D84" s="49"/>
      <c r="E84" s="49"/>
      <c r="F84" s="49"/>
      <c r="G84" s="49"/>
      <c r="H84" s="49"/>
      <c r="I84" s="49"/>
      <c r="J84" s="49"/>
      <c r="K84" s="49"/>
      <c r="L84" s="49"/>
      <c r="M84" s="49"/>
      <c r="N84" s="49"/>
      <c r="O84" s="49"/>
      <c r="P84" s="49"/>
      <c r="Q84" s="49"/>
      <c r="R84" s="49"/>
      <c r="S84" s="49"/>
      <c r="T84" s="49"/>
      <c r="U84" s="49"/>
      <c r="V84" s="49"/>
      <c r="W84" s="49"/>
      <c r="X84" s="49"/>
      <c r="Y84" s="49"/>
      <c r="Z84" s="49"/>
      <c r="AA84" s="49"/>
      <c r="AB84" s="49"/>
      <c r="AC84" s="49"/>
      <c r="AD84" s="49"/>
      <c r="AE84" s="49"/>
      <c r="AF84" s="49"/>
      <c r="AG84" s="49"/>
      <c r="AH84" s="49"/>
      <c r="AI84" s="49"/>
      <c r="AJ84" s="49"/>
      <c r="AK84" s="49"/>
      <c r="AL84" s="49"/>
      <c r="AM84" s="49"/>
      <c r="AN84" s="49"/>
      <c r="AO84" s="49"/>
      <c r="AP84" s="49"/>
      <c r="AQ84" s="49"/>
      <c r="AR84" s="49"/>
      <c r="AS84" s="49"/>
    </row>
    <row r="85" spans="1:45" x14ac:dyDescent="0.35">
      <c r="A85" s="49"/>
      <c r="B85" s="49"/>
      <c r="C85" s="49"/>
      <c r="D85" s="49"/>
      <c r="E85" s="49"/>
      <c r="F85" s="49"/>
      <c r="G85" s="49"/>
      <c r="H85" s="49"/>
      <c r="I85" s="49"/>
      <c r="J85" s="49"/>
      <c r="K85" s="49"/>
      <c r="L85" s="49"/>
      <c r="M85" s="49"/>
      <c r="N85" s="49"/>
      <c r="O85" s="49"/>
      <c r="P85" s="49"/>
      <c r="Q85" s="49"/>
      <c r="R85" s="49"/>
      <c r="S85" s="49"/>
      <c r="T85" s="49"/>
      <c r="U85" s="49"/>
      <c r="V85" s="49"/>
      <c r="W85" s="49"/>
      <c r="X85" s="49"/>
      <c r="Y85" s="49"/>
      <c r="Z85" s="49"/>
      <c r="AA85" s="49"/>
      <c r="AB85" s="49"/>
      <c r="AC85" s="49"/>
      <c r="AD85" s="49"/>
      <c r="AE85" s="49"/>
      <c r="AF85" s="49"/>
      <c r="AG85" s="49"/>
      <c r="AH85" s="49"/>
      <c r="AI85" s="49"/>
      <c r="AJ85" s="49"/>
      <c r="AK85" s="49"/>
      <c r="AL85" s="49"/>
      <c r="AM85" s="49"/>
      <c r="AN85" s="49"/>
      <c r="AO85" s="49"/>
      <c r="AP85" s="49"/>
      <c r="AQ85" s="49"/>
      <c r="AR85" s="49"/>
      <c r="AS85" s="49"/>
    </row>
    <row r="86" spans="1:45" x14ac:dyDescent="0.35">
      <c r="A86" s="49"/>
      <c r="B86" s="49"/>
      <c r="C86" s="49"/>
      <c r="D86" s="49"/>
      <c r="E86" s="49"/>
      <c r="F86" s="49"/>
      <c r="G86" s="49"/>
      <c r="H86" s="49"/>
      <c r="I86" s="49"/>
      <c r="J86" s="49"/>
      <c r="K86" s="49"/>
      <c r="L86" s="49"/>
      <c r="M86" s="49"/>
      <c r="N86" s="49"/>
      <c r="O86" s="49"/>
      <c r="P86" s="49"/>
      <c r="Q86" s="49"/>
      <c r="R86" s="49"/>
      <c r="S86" s="49"/>
      <c r="T86" s="49"/>
      <c r="U86" s="49"/>
      <c r="V86" s="49"/>
      <c r="W86" s="49"/>
      <c r="X86" s="49"/>
      <c r="Y86" s="49"/>
      <c r="Z86" s="49"/>
      <c r="AA86" s="49"/>
      <c r="AB86" s="49"/>
      <c r="AC86" s="49"/>
      <c r="AD86" s="49"/>
      <c r="AE86" s="49"/>
      <c r="AF86" s="49"/>
      <c r="AG86" s="49"/>
      <c r="AH86" s="49"/>
      <c r="AI86" s="49"/>
      <c r="AJ86" s="49"/>
      <c r="AK86" s="49"/>
      <c r="AL86" s="49"/>
      <c r="AM86" s="49"/>
      <c r="AN86" s="49"/>
      <c r="AO86" s="49"/>
      <c r="AP86" s="49"/>
      <c r="AQ86" s="49"/>
      <c r="AR86" s="49"/>
      <c r="AS86" s="49"/>
    </row>
    <row r="87" spans="1:45" x14ac:dyDescent="0.35">
      <c r="A87" s="49"/>
      <c r="B87" s="49"/>
      <c r="C87" s="49"/>
      <c r="D87" s="49"/>
      <c r="E87" s="49"/>
      <c r="F87" s="49"/>
      <c r="G87" s="49"/>
      <c r="H87" s="49"/>
      <c r="I87" s="49"/>
      <c r="J87" s="49"/>
      <c r="K87" s="49"/>
      <c r="L87" s="49"/>
      <c r="M87" s="49"/>
      <c r="N87" s="49"/>
      <c r="O87" s="49"/>
      <c r="P87" s="49"/>
      <c r="Q87" s="49"/>
      <c r="R87" s="49"/>
      <c r="S87" s="49"/>
      <c r="T87" s="49"/>
      <c r="U87" s="49"/>
      <c r="V87" s="49"/>
      <c r="W87" s="49"/>
      <c r="X87" s="49"/>
      <c r="Y87" s="49"/>
      <c r="Z87" s="49"/>
      <c r="AA87" s="49"/>
      <c r="AB87" s="49"/>
      <c r="AC87" s="49"/>
      <c r="AD87" s="49"/>
      <c r="AE87" s="49"/>
      <c r="AF87" s="49"/>
      <c r="AG87" s="49"/>
      <c r="AH87" s="49"/>
      <c r="AI87" s="49"/>
      <c r="AJ87" s="49"/>
      <c r="AK87" s="49"/>
      <c r="AL87" s="49"/>
      <c r="AM87" s="49"/>
      <c r="AN87" s="49"/>
      <c r="AO87" s="49"/>
      <c r="AP87" s="49"/>
      <c r="AQ87" s="49"/>
      <c r="AR87" s="49"/>
      <c r="AS87" s="49"/>
    </row>
    <row r="88" spans="1:45" x14ac:dyDescent="0.35">
      <c r="A88" s="49"/>
      <c r="B88" s="49"/>
      <c r="C88" s="49"/>
      <c r="D88" s="49"/>
      <c r="E88" s="49"/>
      <c r="F88" s="49"/>
      <c r="G88" s="49"/>
      <c r="H88" s="49"/>
      <c r="I88" s="49"/>
      <c r="J88" s="49"/>
      <c r="K88" s="49"/>
      <c r="L88" s="49"/>
      <c r="M88" s="49"/>
      <c r="N88" s="49"/>
      <c r="O88" s="49"/>
      <c r="P88" s="49"/>
      <c r="Q88" s="49"/>
      <c r="R88" s="49"/>
      <c r="S88" s="49"/>
      <c r="T88" s="49"/>
      <c r="U88" s="49"/>
      <c r="V88" s="49"/>
      <c r="W88" s="49"/>
      <c r="X88" s="49"/>
      <c r="Y88" s="49"/>
      <c r="Z88" s="49"/>
      <c r="AA88" s="49"/>
      <c r="AB88" s="49"/>
      <c r="AC88" s="49"/>
      <c r="AD88" s="49"/>
      <c r="AE88" s="49"/>
      <c r="AF88" s="49"/>
      <c r="AG88" s="49"/>
      <c r="AH88" s="49"/>
      <c r="AI88" s="49"/>
      <c r="AJ88" s="49"/>
      <c r="AK88" s="49"/>
      <c r="AL88" s="49"/>
      <c r="AM88" s="49"/>
      <c r="AN88" s="49"/>
      <c r="AO88" s="49"/>
      <c r="AP88" s="49"/>
      <c r="AQ88" s="49"/>
      <c r="AR88" s="49"/>
      <c r="AS88" s="49"/>
    </row>
    <row r="89" spans="1:45" x14ac:dyDescent="0.35">
      <c r="A89" s="49"/>
      <c r="B89" s="49"/>
      <c r="C89" s="49"/>
      <c r="D89" s="49"/>
      <c r="E89" s="49"/>
      <c r="F89" s="49"/>
      <c r="G89" s="49"/>
      <c r="H89" s="49"/>
      <c r="I89" s="49"/>
      <c r="J89" s="49"/>
      <c r="K89" s="49"/>
      <c r="L89" s="49"/>
      <c r="M89" s="49"/>
      <c r="N89" s="49"/>
      <c r="O89" s="49"/>
      <c r="P89" s="49"/>
      <c r="Q89" s="49"/>
      <c r="R89" s="49"/>
      <c r="S89" s="49"/>
      <c r="T89" s="49"/>
      <c r="U89" s="49"/>
      <c r="V89" s="49"/>
      <c r="W89" s="49"/>
      <c r="X89" s="49"/>
      <c r="Y89" s="49"/>
      <c r="Z89" s="49"/>
      <c r="AA89" s="49"/>
      <c r="AB89" s="49"/>
      <c r="AC89" s="49"/>
      <c r="AD89" s="49"/>
      <c r="AE89" s="49"/>
      <c r="AF89" s="49"/>
      <c r="AG89" s="49"/>
      <c r="AH89" s="49"/>
      <c r="AI89" s="49"/>
      <c r="AJ89" s="49"/>
      <c r="AK89" s="49"/>
      <c r="AL89" s="49"/>
      <c r="AM89" s="49"/>
      <c r="AN89" s="49"/>
      <c r="AO89" s="49"/>
      <c r="AP89" s="49"/>
      <c r="AQ89" s="49"/>
      <c r="AR89" s="49"/>
      <c r="AS89" s="49"/>
    </row>
    <row r="90" spans="1:45" x14ac:dyDescent="0.35">
      <c r="A90" s="49"/>
      <c r="B90" s="49"/>
      <c r="C90" s="49"/>
      <c r="D90" s="49"/>
      <c r="E90" s="49"/>
      <c r="F90" s="49"/>
      <c r="G90" s="49"/>
      <c r="H90" s="49"/>
      <c r="I90" s="49"/>
      <c r="J90" s="49"/>
      <c r="K90" s="49"/>
      <c r="L90" s="49"/>
      <c r="M90" s="49"/>
      <c r="N90" s="49"/>
      <c r="O90" s="49"/>
      <c r="P90" s="49"/>
      <c r="Q90" s="49"/>
      <c r="R90" s="49"/>
      <c r="S90" s="49"/>
      <c r="T90" s="49"/>
      <c r="U90" s="49"/>
      <c r="V90" s="49"/>
      <c r="W90" s="49"/>
      <c r="X90" s="49"/>
      <c r="Y90" s="49"/>
      <c r="Z90" s="49"/>
      <c r="AA90" s="49"/>
      <c r="AB90" s="49"/>
      <c r="AC90" s="49"/>
      <c r="AD90" s="49"/>
      <c r="AE90" s="49"/>
      <c r="AF90" s="49"/>
      <c r="AG90" s="49"/>
      <c r="AH90" s="49"/>
      <c r="AI90" s="49"/>
      <c r="AJ90" s="49"/>
      <c r="AK90" s="49"/>
      <c r="AL90" s="49"/>
      <c r="AM90" s="49"/>
      <c r="AN90" s="49"/>
      <c r="AO90" s="49"/>
      <c r="AP90" s="49"/>
      <c r="AQ90" s="49"/>
      <c r="AR90" s="49"/>
      <c r="AS90" s="49"/>
    </row>
    <row r="91" spans="1:45" x14ac:dyDescent="0.35">
      <c r="A91" s="49"/>
      <c r="B91" s="49"/>
      <c r="C91" s="49"/>
      <c r="D91" s="49"/>
      <c r="E91" s="49"/>
      <c r="F91" s="49"/>
      <c r="G91" s="49"/>
      <c r="H91" s="49"/>
      <c r="I91" s="49"/>
      <c r="J91" s="49"/>
      <c r="K91" s="49"/>
      <c r="L91" s="49"/>
      <c r="M91" s="49"/>
      <c r="N91" s="49"/>
      <c r="O91" s="49"/>
      <c r="P91" s="49"/>
      <c r="Q91" s="49"/>
      <c r="R91" s="49"/>
      <c r="S91" s="49"/>
      <c r="T91" s="49"/>
      <c r="U91" s="49"/>
      <c r="V91" s="49"/>
      <c r="W91" s="49"/>
      <c r="X91" s="49"/>
      <c r="Y91" s="49"/>
      <c r="Z91" s="49"/>
      <c r="AA91" s="49"/>
      <c r="AB91" s="49"/>
      <c r="AC91" s="49"/>
      <c r="AD91" s="49"/>
      <c r="AE91" s="49"/>
      <c r="AF91" s="49"/>
      <c r="AG91" s="49"/>
      <c r="AH91" s="49"/>
      <c r="AI91" s="49"/>
      <c r="AJ91" s="49"/>
      <c r="AK91" s="49"/>
      <c r="AL91" s="49"/>
      <c r="AM91" s="49"/>
      <c r="AN91" s="49"/>
      <c r="AO91" s="49"/>
      <c r="AP91" s="49"/>
      <c r="AQ91" s="49"/>
      <c r="AR91" s="49"/>
      <c r="AS91" s="49"/>
    </row>
    <row r="92" spans="1:45" x14ac:dyDescent="0.35">
      <c r="A92" s="49"/>
      <c r="B92" s="49"/>
      <c r="C92" s="49"/>
      <c r="D92" s="49"/>
      <c r="E92" s="49"/>
      <c r="F92" s="49"/>
      <c r="G92" s="49"/>
      <c r="H92" s="49"/>
      <c r="I92" s="49"/>
      <c r="J92" s="49"/>
      <c r="K92" s="49"/>
      <c r="L92" s="49"/>
      <c r="M92" s="49"/>
      <c r="N92" s="49"/>
      <c r="O92" s="49"/>
      <c r="P92" s="49"/>
      <c r="Q92" s="49"/>
      <c r="R92" s="49"/>
      <c r="S92" s="49"/>
      <c r="T92" s="49"/>
      <c r="U92" s="49"/>
      <c r="V92" s="49"/>
      <c r="W92" s="49"/>
      <c r="X92" s="49"/>
      <c r="Y92" s="49"/>
      <c r="Z92" s="49"/>
      <c r="AA92" s="49"/>
      <c r="AB92" s="49"/>
      <c r="AC92" s="49"/>
      <c r="AD92" s="49"/>
      <c r="AE92" s="49"/>
      <c r="AF92" s="49"/>
      <c r="AG92" s="49"/>
      <c r="AH92" s="49"/>
      <c r="AI92" s="49"/>
      <c r="AJ92" s="49"/>
      <c r="AK92" s="49"/>
      <c r="AL92" s="49"/>
      <c r="AM92" s="49"/>
      <c r="AN92" s="49"/>
      <c r="AO92" s="49"/>
      <c r="AP92" s="49"/>
      <c r="AQ92" s="49"/>
      <c r="AR92" s="49"/>
      <c r="AS92" s="49"/>
    </row>
    <row r="93" spans="1:45" x14ac:dyDescent="0.35">
      <c r="A93" s="49"/>
      <c r="B93" s="49"/>
      <c r="C93" s="49"/>
      <c r="D93" s="49"/>
      <c r="E93" s="49"/>
      <c r="F93" s="49"/>
      <c r="G93" s="49"/>
      <c r="H93" s="49"/>
      <c r="I93" s="49"/>
      <c r="J93" s="49"/>
      <c r="K93" s="49"/>
      <c r="L93" s="49"/>
      <c r="M93" s="49"/>
      <c r="N93" s="49"/>
      <c r="O93" s="49"/>
      <c r="P93" s="49"/>
      <c r="Q93" s="49"/>
      <c r="R93" s="49"/>
      <c r="S93" s="49"/>
      <c r="T93" s="49"/>
      <c r="U93" s="49"/>
      <c r="V93" s="49"/>
      <c r="W93" s="49"/>
      <c r="X93" s="49"/>
      <c r="Y93" s="49"/>
      <c r="Z93" s="49"/>
      <c r="AA93" s="49"/>
      <c r="AB93" s="49"/>
      <c r="AC93" s="49"/>
      <c r="AD93" s="49"/>
      <c r="AE93" s="49"/>
      <c r="AF93" s="49"/>
      <c r="AG93" s="49"/>
      <c r="AH93" s="49"/>
      <c r="AI93" s="49"/>
      <c r="AJ93" s="49"/>
      <c r="AK93" s="49"/>
      <c r="AL93" s="49"/>
      <c r="AM93" s="49"/>
      <c r="AN93" s="49"/>
      <c r="AO93" s="49"/>
      <c r="AP93" s="49"/>
      <c r="AQ93" s="49"/>
      <c r="AR93" s="49"/>
      <c r="AS93" s="49"/>
    </row>
    <row r="94" spans="1:45" x14ac:dyDescent="0.35">
      <c r="A94" s="49"/>
      <c r="B94" s="49"/>
      <c r="C94" s="49"/>
      <c r="D94" s="49"/>
      <c r="E94" s="49"/>
      <c r="F94" s="49"/>
      <c r="G94" s="49"/>
      <c r="H94" s="49"/>
      <c r="I94" s="49"/>
      <c r="J94" s="49"/>
      <c r="K94" s="49"/>
      <c r="L94" s="49"/>
      <c r="M94" s="49"/>
      <c r="N94" s="49"/>
      <c r="O94" s="49"/>
      <c r="P94" s="49"/>
      <c r="Q94" s="49"/>
      <c r="R94" s="49"/>
      <c r="S94" s="49"/>
      <c r="T94" s="49"/>
      <c r="U94" s="49"/>
      <c r="V94" s="49"/>
      <c r="W94" s="49"/>
      <c r="X94" s="49"/>
      <c r="Y94" s="49"/>
      <c r="Z94" s="49"/>
      <c r="AA94" s="49"/>
      <c r="AB94" s="49"/>
      <c r="AC94" s="49"/>
      <c r="AD94" s="49"/>
      <c r="AE94" s="49"/>
      <c r="AF94" s="49"/>
      <c r="AG94" s="49"/>
      <c r="AH94" s="49"/>
      <c r="AI94" s="49"/>
      <c r="AJ94" s="49"/>
      <c r="AK94" s="49"/>
      <c r="AL94" s="49"/>
      <c r="AM94" s="49"/>
      <c r="AN94" s="49"/>
      <c r="AO94" s="49"/>
      <c r="AP94" s="49"/>
      <c r="AQ94" s="49"/>
      <c r="AR94" s="49"/>
      <c r="AS94" s="49"/>
    </row>
    <row r="95" spans="1:45" x14ac:dyDescent="0.35">
      <c r="A95" s="49"/>
      <c r="B95" s="49"/>
      <c r="C95" s="49"/>
      <c r="D95" s="49"/>
      <c r="E95" s="49"/>
      <c r="F95" s="49"/>
      <c r="G95" s="49"/>
      <c r="H95" s="49"/>
      <c r="I95" s="49"/>
      <c r="J95" s="49"/>
      <c r="K95" s="49"/>
      <c r="L95" s="49"/>
      <c r="M95" s="49"/>
      <c r="N95" s="49"/>
      <c r="O95" s="49"/>
      <c r="P95" s="49"/>
      <c r="Q95" s="49"/>
      <c r="R95" s="49"/>
      <c r="S95" s="49"/>
      <c r="T95" s="49"/>
      <c r="U95" s="49"/>
      <c r="V95" s="49"/>
      <c r="W95" s="49"/>
      <c r="X95" s="49"/>
      <c r="Y95" s="49"/>
      <c r="Z95" s="49"/>
      <c r="AA95" s="49"/>
      <c r="AB95" s="49"/>
      <c r="AC95" s="49"/>
      <c r="AD95" s="49"/>
      <c r="AE95" s="49"/>
      <c r="AF95" s="49"/>
      <c r="AG95" s="49"/>
      <c r="AH95" s="49"/>
      <c r="AI95" s="49"/>
      <c r="AJ95" s="49"/>
      <c r="AK95" s="49"/>
      <c r="AL95" s="49"/>
      <c r="AM95" s="49"/>
      <c r="AN95" s="49"/>
      <c r="AO95" s="49"/>
      <c r="AP95" s="49"/>
      <c r="AQ95" s="49"/>
      <c r="AR95" s="49"/>
      <c r="AS95" s="49"/>
    </row>
    <row r="96" spans="1:45" x14ac:dyDescent="0.35">
      <c r="A96" s="49"/>
      <c r="B96" s="49"/>
      <c r="C96" s="49"/>
      <c r="D96" s="49"/>
      <c r="E96" s="49"/>
      <c r="F96" s="49"/>
      <c r="G96" s="49"/>
      <c r="H96" s="49"/>
      <c r="I96" s="49"/>
      <c r="J96" s="49"/>
      <c r="K96" s="49"/>
      <c r="L96" s="49"/>
      <c r="M96" s="49"/>
      <c r="N96" s="49"/>
      <c r="O96" s="49"/>
      <c r="P96" s="49"/>
      <c r="Q96" s="49"/>
      <c r="R96" s="49"/>
      <c r="S96" s="49"/>
      <c r="T96" s="49"/>
      <c r="U96" s="49"/>
      <c r="V96" s="49"/>
      <c r="W96" s="49"/>
      <c r="X96" s="49"/>
      <c r="Y96" s="49"/>
      <c r="Z96" s="49"/>
      <c r="AA96" s="49"/>
      <c r="AB96" s="49"/>
      <c r="AC96" s="49"/>
      <c r="AD96" s="49"/>
      <c r="AE96" s="49"/>
      <c r="AF96" s="49"/>
      <c r="AG96" s="49"/>
      <c r="AH96" s="49"/>
      <c r="AI96" s="49"/>
      <c r="AJ96" s="49"/>
      <c r="AK96" s="49"/>
      <c r="AL96" s="49"/>
      <c r="AM96" s="49"/>
      <c r="AN96" s="49"/>
      <c r="AO96" s="49"/>
      <c r="AP96" s="49"/>
      <c r="AQ96" s="49"/>
      <c r="AR96" s="49"/>
      <c r="AS96" s="49"/>
    </row>
    <row r="97" spans="1:45" x14ac:dyDescent="0.35">
      <c r="A97" s="49"/>
      <c r="B97" s="49"/>
      <c r="C97" s="49"/>
      <c r="D97" s="49"/>
      <c r="E97" s="49"/>
      <c r="F97" s="49"/>
      <c r="G97" s="49"/>
      <c r="H97" s="49"/>
      <c r="I97" s="49"/>
      <c r="J97" s="49"/>
      <c r="K97" s="49"/>
      <c r="L97" s="49"/>
      <c r="M97" s="49"/>
      <c r="N97" s="49"/>
      <c r="O97" s="49"/>
      <c r="P97" s="49"/>
      <c r="Q97" s="49"/>
      <c r="R97" s="49"/>
      <c r="S97" s="49"/>
      <c r="T97" s="49"/>
      <c r="U97" s="49"/>
      <c r="V97" s="49"/>
      <c r="W97" s="49"/>
      <c r="X97" s="49"/>
      <c r="Y97" s="49"/>
      <c r="Z97" s="49"/>
      <c r="AA97" s="49"/>
      <c r="AB97" s="49"/>
      <c r="AC97" s="49"/>
      <c r="AD97" s="49"/>
      <c r="AE97" s="49"/>
      <c r="AF97" s="49"/>
      <c r="AG97" s="49"/>
      <c r="AH97" s="49"/>
      <c r="AI97" s="49"/>
      <c r="AJ97" s="49"/>
      <c r="AK97" s="49"/>
      <c r="AL97" s="49"/>
      <c r="AM97" s="49"/>
      <c r="AN97" s="49"/>
      <c r="AO97" s="49"/>
      <c r="AP97" s="49"/>
      <c r="AQ97" s="49"/>
      <c r="AR97" s="49"/>
      <c r="AS97" s="49"/>
    </row>
    <row r="98" spans="1:45" x14ac:dyDescent="0.35">
      <c r="A98" s="49"/>
      <c r="B98" s="49"/>
      <c r="C98" s="49"/>
      <c r="D98" s="49"/>
      <c r="E98" s="49"/>
      <c r="F98" s="49"/>
      <c r="G98" s="49"/>
      <c r="H98" s="49"/>
      <c r="I98" s="49"/>
      <c r="J98" s="49"/>
      <c r="K98" s="49"/>
      <c r="L98" s="49"/>
      <c r="M98" s="49"/>
      <c r="N98" s="49"/>
      <c r="O98" s="49"/>
      <c r="P98" s="49"/>
      <c r="Q98" s="49"/>
      <c r="R98" s="49"/>
      <c r="S98" s="49"/>
      <c r="T98" s="49"/>
      <c r="U98" s="49"/>
      <c r="V98" s="49"/>
      <c r="W98" s="49"/>
      <c r="X98" s="49"/>
      <c r="Y98" s="49"/>
      <c r="Z98" s="49"/>
      <c r="AA98" s="49"/>
      <c r="AB98" s="49"/>
      <c r="AC98" s="49"/>
      <c r="AD98" s="49"/>
      <c r="AE98" s="49"/>
      <c r="AF98" s="49"/>
      <c r="AG98" s="49"/>
      <c r="AH98" s="49"/>
      <c r="AI98" s="49"/>
      <c r="AJ98" s="49"/>
      <c r="AK98" s="49"/>
      <c r="AL98" s="49"/>
      <c r="AM98" s="49"/>
      <c r="AN98" s="49"/>
      <c r="AO98" s="49"/>
      <c r="AP98" s="49"/>
      <c r="AQ98" s="49"/>
      <c r="AR98" s="49"/>
      <c r="AS98" s="49"/>
    </row>
    <row r="99" spans="1:45" x14ac:dyDescent="0.35">
      <c r="A99" s="49"/>
      <c r="B99" s="49"/>
      <c r="C99" s="49"/>
      <c r="D99" s="49"/>
      <c r="E99" s="49"/>
      <c r="F99" s="49"/>
      <c r="G99" s="49"/>
      <c r="H99" s="49"/>
      <c r="I99" s="49"/>
      <c r="J99" s="49"/>
      <c r="K99" s="49"/>
      <c r="L99" s="49"/>
      <c r="M99" s="49"/>
      <c r="N99" s="49"/>
      <c r="O99" s="49"/>
      <c r="P99" s="49"/>
      <c r="Q99" s="49"/>
      <c r="R99" s="49"/>
      <c r="S99" s="49"/>
      <c r="T99" s="49"/>
      <c r="U99" s="49"/>
      <c r="V99" s="49"/>
      <c r="W99" s="49"/>
      <c r="X99" s="49"/>
      <c r="Y99" s="49"/>
      <c r="Z99" s="49"/>
      <c r="AA99" s="49"/>
      <c r="AB99" s="49"/>
      <c r="AC99" s="49"/>
      <c r="AD99" s="49"/>
      <c r="AE99" s="49"/>
      <c r="AF99" s="49"/>
      <c r="AG99" s="49"/>
      <c r="AH99" s="49"/>
      <c r="AI99" s="49"/>
      <c r="AJ99" s="49"/>
      <c r="AK99" s="49"/>
      <c r="AL99" s="49"/>
      <c r="AM99" s="49"/>
      <c r="AN99" s="49"/>
      <c r="AO99" s="49"/>
      <c r="AP99" s="49"/>
      <c r="AQ99" s="49"/>
      <c r="AR99" s="49"/>
      <c r="AS99" s="49"/>
    </row>
    <row r="100" spans="1:45" x14ac:dyDescent="0.35">
      <c r="A100" s="49"/>
      <c r="B100" s="49"/>
      <c r="C100" s="49"/>
      <c r="D100" s="49"/>
      <c r="E100" s="49"/>
      <c r="F100" s="49"/>
      <c r="G100" s="49"/>
      <c r="H100" s="49"/>
      <c r="I100" s="49"/>
      <c r="J100" s="49"/>
      <c r="K100" s="49"/>
      <c r="L100" s="49"/>
      <c r="M100" s="49"/>
      <c r="N100" s="49"/>
      <c r="O100" s="49"/>
      <c r="P100" s="49"/>
      <c r="Q100" s="49"/>
      <c r="R100" s="49"/>
      <c r="S100" s="49"/>
      <c r="T100" s="49"/>
      <c r="U100" s="49"/>
      <c r="V100" s="49"/>
      <c r="W100" s="49"/>
      <c r="X100" s="49"/>
      <c r="Y100" s="49"/>
      <c r="Z100" s="49"/>
      <c r="AA100" s="49"/>
      <c r="AB100" s="49"/>
      <c r="AC100" s="49"/>
      <c r="AD100" s="49"/>
      <c r="AE100" s="49"/>
      <c r="AF100" s="49"/>
      <c r="AG100" s="49"/>
      <c r="AH100" s="49"/>
      <c r="AI100" s="49"/>
      <c r="AJ100" s="49"/>
      <c r="AK100" s="49"/>
      <c r="AL100" s="49"/>
      <c r="AM100" s="49"/>
      <c r="AN100" s="49"/>
      <c r="AO100" s="49"/>
      <c r="AP100" s="49"/>
      <c r="AQ100" s="49"/>
      <c r="AR100" s="49"/>
      <c r="AS100" s="49"/>
    </row>
    <row r="101" spans="1:45" x14ac:dyDescent="0.35">
      <c r="A101" s="49"/>
      <c r="B101" s="49"/>
      <c r="C101" s="49"/>
      <c r="D101" s="49"/>
      <c r="E101" s="49"/>
      <c r="F101" s="49"/>
      <c r="G101" s="49"/>
      <c r="H101" s="49"/>
      <c r="I101" s="49"/>
      <c r="J101" s="49"/>
      <c r="K101" s="49"/>
      <c r="L101" s="49"/>
      <c r="M101" s="49"/>
      <c r="N101" s="49"/>
      <c r="O101" s="49"/>
      <c r="P101" s="49"/>
      <c r="Q101" s="49"/>
      <c r="R101" s="49"/>
      <c r="S101" s="49"/>
      <c r="T101" s="49"/>
      <c r="U101" s="49"/>
      <c r="V101" s="49"/>
      <c r="W101" s="49"/>
      <c r="X101" s="49"/>
      <c r="Y101" s="49"/>
      <c r="Z101" s="49"/>
      <c r="AA101" s="49"/>
      <c r="AB101" s="49"/>
      <c r="AC101" s="49"/>
      <c r="AD101" s="49"/>
      <c r="AE101" s="49"/>
      <c r="AF101" s="49"/>
      <c r="AG101" s="49"/>
      <c r="AH101" s="49"/>
      <c r="AI101" s="49"/>
      <c r="AJ101" s="49"/>
      <c r="AK101" s="49"/>
      <c r="AL101" s="49"/>
      <c r="AM101" s="49"/>
      <c r="AN101" s="49"/>
      <c r="AO101" s="49"/>
      <c r="AP101" s="49"/>
      <c r="AQ101" s="49"/>
      <c r="AR101" s="49"/>
      <c r="AS101" s="49"/>
    </row>
    <row r="102" spans="1:45" x14ac:dyDescent="0.35">
      <c r="A102" s="49"/>
      <c r="B102" s="49"/>
      <c r="C102" s="49"/>
      <c r="D102" s="49"/>
      <c r="E102" s="49"/>
      <c r="F102" s="49"/>
      <c r="G102" s="49"/>
      <c r="H102" s="49"/>
      <c r="I102" s="49"/>
      <c r="J102" s="49"/>
      <c r="K102" s="49"/>
      <c r="L102" s="49"/>
      <c r="M102" s="49"/>
      <c r="N102" s="49"/>
      <c r="O102" s="49"/>
      <c r="P102" s="49"/>
      <c r="Q102" s="49"/>
      <c r="R102" s="49"/>
      <c r="S102" s="49"/>
      <c r="T102" s="49"/>
      <c r="U102" s="49"/>
      <c r="V102" s="49"/>
      <c r="W102" s="49"/>
      <c r="X102" s="49"/>
      <c r="Y102" s="49"/>
      <c r="Z102" s="49"/>
      <c r="AA102" s="49"/>
      <c r="AB102" s="49"/>
      <c r="AC102" s="49"/>
      <c r="AD102" s="49"/>
      <c r="AE102" s="49"/>
      <c r="AF102" s="49"/>
      <c r="AG102" s="49"/>
      <c r="AH102" s="49"/>
      <c r="AI102" s="49"/>
      <c r="AJ102" s="49"/>
      <c r="AK102" s="49"/>
      <c r="AL102" s="49"/>
      <c r="AM102" s="49"/>
      <c r="AN102" s="49"/>
      <c r="AO102" s="49"/>
      <c r="AP102" s="49"/>
      <c r="AQ102" s="49"/>
      <c r="AR102" s="49"/>
      <c r="AS102" s="49"/>
    </row>
    <row r="103" spans="1:45" x14ac:dyDescent="0.35">
      <c r="A103" s="49"/>
      <c r="B103" s="49"/>
      <c r="C103" s="49"/>
      <c r="D103" s="49"/>
      <c r="E103" s="49"/>
      <c r="F103" s="49"/>
      <c r="G103" s="49"/>
      <c r="H103" s="49"/>
      <c r="I103" s="49"/>
      <c r="J103" s="49"/>
      <c r="K103" s="49"/>
      <c r="L103" s="49"/>
      <c r="M103" s="49"/>
      <c r="N103" s="49"/>
      <c r="O103" s="49"/>
      <c r="P103" s="49"/>
      <c r="Q103" s="49"/>
      <c r="R103" s="49"/>
      <c r="S103" s="49"/>
      <c r="T103" s="49"/>
      <c r="U103" s="49"/>
      <c r="V103" s="49"/>
      <c r="W103" s="49"/>
      <c r="X103" s="49"/>
      <c r="Y103" s="49"/>
      <c r="Z103" s="49"/>
      <c r="AA103" s="49"/>
      <c r="AB103" s="49"/>
      <c r="AC103" s="49"/>
      <c r="AD103" s="49"/>
      <c r="AE103" s="49"/>
      <c r="AF103" s="49"/>
      <c r="AG103" s="49"/>
      <c r="AH103" s="49"/>
      <c r="AI103" s="49"/>
      <c r="AJ103" s="49"/>
      <c r="AK103" s="49"/>
      <c r="AL103" s="49"/>
      <c r="AM103" s="49"/>
      <c r="AN103" s="49"/>
      <c r="AO103" s="49"/>
      <c r="AP103" s="49"/>
      <c r="AQ103" s="49"/>
      <c r="AR103" s="49"/>
      <c r="AS103" s="49"/>
    </row>
    <row r="104" spans="1:45" x14ac:dyDescent="0.35">
      <c r="A104" s="49"/>
      <c r="B104" s="49"/>
      <c r="C104" s="49"/>
      <c r="D104" s="49"/>
      <c r="E104" s="49"/>
      <c r="F104" s="49"/>
      <c r="G104" s="49"/>
      <c r="H104" s="49"/>
      <c r="I104" s="49"/>
      <c r="J104" s="49"/>
      <c r="K104" s="49"/>
      <c r="L104" s="49"/>
      <c r="M104" s="49"/>
      <c r="N104" s="49"/>
      <c r="O104" s="49"/>
      <c r="P104" s="49"/>
      <c r="Q104" s="49"/>
      <c r="R104" s="49"/>
      <c r="S104" s="49"/>
      <c r="T104" s="49"/>
      <c r="U104" s="49"/>
      <c r="V104" s="49"/>
      <c r="W104" s="49"/>
      <c r="X104" s="49"/>
      <c r="Y104" s="49"/>
      <c r="Z104" s="49"/>
      <c r="AA104" s="49"/>
      <c r="AB104" s="49"/>
      <c r="AC104" s="49"/>
      <c r="AD104" s="49"/>
      <c r="AE104" s="49"/>
      <c r="AF104" s="49"/>
      <c r="AG104" s="49"/>
      <c r="AH104" s="49"/>
      <c r="AI104" s="49"/>
      <c r="AJ104" s="49"/>
      <c r="AK104" s="49"/>
      <c r="AL104" s="49"/>
      <c r="AM104" s="49"/>
      <c r="AN104" s="49"/>
      <c r="AO104" s="49"/>
      <c r="AP104" s="49"/>
      <c r="AQ104" s="49"/>
      <c r="AR104" s="49"/>
      <c r="AS104" s="49"/>
    </row>
    <row r="105" spans="1:45" x14ac:dyDescent="0.35">
      <c r="A105" s="49"/>
      <c r="B105" s="49"/>
      <c r="C105" s="49"/>
      <c r="D105" s="49"/>
      <c r="E105" s="49"/>
      <c r="F105" s="49"/>
      <c r="G105" s="49"/>
      <c r="H105" s="49"/>
      <c r="I105" s="49"/>
      <c r="J105" s="49"/>
      <c r="K105" s="49"/>
      <c r="L105" s="49"/>
      <c r="M105" s="49"/>
      <c r="N105" s="49"/>
      <c r="O105" s="49"/>
      <c r="P105" s="49"/>
      <c r="Q105" s="49"/>
      <c r="R105" s="49"/>
      <c r="S105" s="49"/>
      <c r="T105" s="49"/>
      <c r="U105" s="49"/>
      <c r="V105" s="49"/>
      <c r="W105" s="49"/>
      <c r="X105" s="49"/>
      <c r="Y105" s="49"/>
      <c r="Z105" s="49"/>
      <c r="AA105" s="49"/>
      <c r="AB105" s="49"/>
      <c r="AC105" s="49"/>
      <c r="AD105" s="49"/>
      <c r="AE105" s="49"/>
      <c r="AF105" s="49"/>
      <c r="AG105" s="49"/>
      <c r="AH105" s="49"/>
      <c r="AI105" s="49"/>
      <c r="AJ105" s="49"/>
      <c r="AK105" s="49"/>
      <c r="AL105" s="49"/>
      <c r="AM105" s="49"/>
      <c r="AN105" s="49"/>
      <c r="AO105" s="49"/>
      <c r="AP105" s="49"/>
      <c r="AQ105" s="49"/>
      <c r="AR105" s="49"/>
      <c r="AS105" s="49"/>
    </row>
    <row r="106" spans="1:45" x14ac:dyDescent="0.35">
      <c r="A106" s="49"/>
      <c r="B106" s="49"/>
      <c r="C106" s="49"/>
      <c r="D106" s="49"/>
      <c r="E106" s="49"/>
      <c r="F106" s="49"/>
      <c r="G106" s="49"/>
      <c r="H106" s="49"/>
      <c r="I106" s="49"/>
      <c r="J106" s="49"/>
      <c r="K106" s="49"/>
      <c r="L106" s="49"/>
      <c r="M106" s="49"/>
      <c r="N106" s="49"/>
      <c r="O106" s="49"/>
      <c r="P106" s="49"/>
      <c r="Q106" s="49"/>
      <c r="R106" s="49"/>
      <c r="S106" s="49"/>
      <c r="T106" s="49"/>
      <c r="U106" s="49"/>
      <c r="V106" s="49"/>
      <c r="W106" s="49"/>
      <c r="X106" s="49"/>
      <c r="Y106" s="49"/>
      <c r="Z106" s="49"/>
      <c r="AA106" s="49"/>
      <c r="AB106" s="49"/>
      <c r="AC106" s="49"/>
      <c r="AD106" s="49"/>
      <c r="AE106" s="49"/>
      <c r="AF106" s="49"/>
      <c r="AG106" s="49"/>
      <c r="AH106" s="49"/>
      <c r="AI106" s="49"/>
      <c r="AJ106" s="49"/>
      <c r="AK106" s="49"/>
      <c r="AL106" s="49"/>
      <c r="AM106" s="49"/>
      <c r="AN106" s="49"/>
      <c r="AO106" s="49"/>
      <c r="AP106" s="49"/>
      <c r="AQ106" s="49"/>
      <c r="AR106" s="49"/>
      <c r="AS106" s="49"/>
    </row>
    <row r="107" spans="1:45" x14ac:dyDescent="0.35">
      <c r="A107" s="49"/>
      <c r="B107" s="49"/>
      <c r="C107" s="49"/>
      <c r="D107" s="49"/>
      <c r="E107" s="49"/>
      <c r="F107" s="49"/>
      <c r="G107" s="49"/>
      <c r="H107" s="49"/>
      <c r="I107" s="49"/>
      <c r="J107" s="49"/>
      <c r="K107" s="49"/>
      <c r="L107" s="49"/>
      <c r="M107" s="49"/>
      <c r="N107" s="49"/>
      <c r="O107" s="49"/>
      <c r="P107" s="49"/>
      <c r="Q107" s="49"/>
      <c r="R107" s="49"/>
      <c r="S107" s="49"/>
      <c r="T107" s="49"/>
      <c r="U107" s="49"/>
      <c r="V107" s="49"/>
      <c r="W107" s="49"/>
      <c r="X107" s="49"/>
      <c r="Y107" s="49"/>
      <c r="Z107" s="49"/>
      <c r="AA107" s="49"/>
      <c r="AB107" s="49"/>
      <c r="AC107" s="49"/>
      <c r="AD107" s="49"/>
      <c r="AE107" s="49"/>
      <c r="AF107" s="49"/>
      <c r="AG107" s="49"/>
      <c r="AH107" s="49"/>
      <c r="AI107" s="49"/>
      <c r="AJ107" s="49"/>
      <c r="AK107" s="49"/>
      <c r="AL107" s="49"/>
      <c r="AM107" s="49"/>
      <c r="AN107" s="49"/>
      <c r="AO107" s="49"/>
      <c r="AP107" s="49"/>
      <c r="AQ107" s="49"/>
      <c r="AR107" s="49"/>
      <c r="AS107" s="49"/>
    </row>
    <row r="108" spans="1:45" x14ac:dyDescent="0.35">
      <c r="A108" s="49"/>
      <c r="B108" s="49"/>
      <c r="C108" s="49"/>
      <c r="D108" s="49"/>
      <c r="E108" s="49"/>
      <c r="F108" s="49"/>
      <c r="G108" s="49"/>
      <c r="H108" s="49"/>
      <c r="I108" s="49"/>
      <c r="J108" s="49"/>
      <c r="K108" s="49"/>
      <c r="L108" s="49"/>
      <c r="M108" s="49"/>
      <c r="N108" s="49"/>
      <c r="O108" s="49"/>
      <c r="P108" s="49"/>
      <c r="Q108" s="49"/>
      <c r="R108" s="49"/>
      <c r="S108" s="49"/>
      <c r="T108" s="49"/>
      <c r="U108" s="49"/>
      <c r="V108" s="49"/>
      <c r="W108" s="49"/>
      <c r="X108" s="49"/>
      <c r="Y108" s="49"/>
      <c r="Z108" s="49"/>
      <c r="AA108" s="49"/>
      <c r="AB108" s="49"/>
      <c r="AC108" s="49"/>
      <c r="AD108" s="49"/>
      <c r="AE108" s="49"/>
      <c r="AF108" s="49"/>
      <c r="AG108" s="49"/>
      <c r="AH108" s="49"/>
      <c r="AI108" s="49"/>
      <c r="AJ108" s="49"/>
      <c r="AK108" s="49"/>
      <c r="AL108" s="49"/>
      <c r="AM108" s="49"/>
      <c r="AN108" s="49"/>
      <c r="AO108" s="49"/>
      <c r="AP108" s="49"/>
      <c r="AQ108" s="49"/>
      <c r="AR108" s="49"/>
      <c r="AS108" s="49"/>
    </row>
    <row r="109" spans="1:45" x14ac:dyDescent="0.35">
      <c r="A109" s="49"/>
      <c r="B109" s="49"/>
      <c r="C109" s="49"/>
      <c r="D109" s="49"/>
      <c r="E109" s="49"/>
      <c r="F109" s="49"/>
      <c r="G109" s="49"/>
      <c r="H109" s="49"/>
      <c r="I109" s="49"/>
      <c r="J109" s="49"/>
      <c r="K109" s="49"/>
      <c r="L109" s="49"/>
      <c r="M109" s="49"/>
      <c r="N109" s="49"/>
      <c r="O109" s="49"/>
      <c r="P109" s="49"/>
      <c r="Q109" s="49"/>
      <c r="R109" s="49"/>
      <c r="S109" s="49"/>
      <c r="T109" s="49"/>
      <c r="U109" s="49"/>
      <c r="V109" s="49"/>
      <c r="W109" s="49"/>
      <c r="X109" s="49"/>
      <c r="Y109" s="49"/>
      <c r="Z109" s="49"/>
      <c r="AA109" s="49"/>
      <c r="AB109" s="49"/>
      <c r="AC109" s="49"/>
      <c r="AD109" s="49"/>
      <c r="AE109" s="49"/>
      <c r="AF109" s="49"/>
      <c r="AG109" s="49"/>
      <c r="AH109" s="49"/>
      <c r="AI109" s="49"/>
      <c r="AJ109" s="49"/>
      <c r="AK109" s="49"/>
      <c r="AL109" s="49"/>
      <c r="AM109" s="49"/>
      <c r="AN109" s="49"/>
      <c r="AO109" s="49"/>
      <c r="AP109" s="49"/>
      <c r="AQ109" s="49"/>
      <c r="AR109" s="49"/>
      <c r="AS109" s="49"/>
    </row>
    <row r="110" spans="1:45" x14ac:dyDescent="0.35">
      <c r="A110" s="49"/>
      <c r="B110" s="49"/>
      <c r="C110" s="49"/>
      <c r="D110" s="49"/>
      <c r="E110" s="49"/>
      <c r="F110" s="49"/>
      <c r="G110" s="49"/>
      <c r="H110" s="49"/>
      <c r="I110" s="49"/>
      <c r="J110" s="49"/>
      <c r="K110" s="49"/>
      <c r="L110" s="49"/>
      <c r="M110" s="49"/>
      <c r="N110" s="49"/>
      <c r="O110" s="49"/>
      <c r="P110" s="49"/>
      <c r="Q110" s="49"/>
      <c r="R110" s="49"/>
      <c r="S110" s="49"/>
      <c r="T110" s="49"/>
      <c r="U110" s="49"/>
      <c r="V110" s="49"/>
      <c r="W110" s="49"/>
      <c r="X110" s="49"/>
      <c r="Y110" s="49"/>
      <c r="Z110" s="49"/>
      <c r="AA110" s="49"/>
      <c r="AB110" s="49"/>
      <c r="AC110" s="49"/>
      <c r="AD110" s="49"/>
      <c r="AE110" s="49"/>
      <c r="AF110" s="49"/>
      <c r="AG110" s="49"/>
      <c r="AH110" s="49"/>
      <c r="AI110" s="49"/>
      <c r="AJ110" s="49"/>
      <c r="AK110" s="49"/>
      <c r="AL110" s="49"/>
      <c r="AM110" s="49"/>
      <c r="AN110" s="49"/>
      <c r="AO110" s="49"/>
      <c r="AP110" s="49"/>
      <c r="AQ110" s="49"/>
      <c r="AR110" s="49"/>
      <c r="AS110" s="49"/>
    </row>
    <row r="111" spans="1:45" x14ac:dyDescent="0.35">
      <c r="A111" s="49"/>
      <c r="B111" s="49"/>
      <c r="C111" s="49"/>
      <c r="D111" s="49"/>
      <c r="E111" s="49"/>
      <c r="F111" s="49"/>
      <c r="G111" s="49"/>
      <c r="H111" s="49"/>
      <c r="I111" s="49"/>
      <c r="J111" s="49"/>
      <c r="K111" s="49"/>
      <c r="L111" s="49"/>
      <c r="M111" s="49"/>
      <c r="N111" s="49"/>
      <c r="O111" s="49"/>
      <c r="P111" s="49"/>
      <c r="Q111" s="49"/>
      <c r="R111" s="49"/>
      <c r="S111" s="49"/>
      <c r="T111" s="49"/>
      <c r="U111" s="49"/>
      <c r="V111" s="49"/>
      <c r="W111" s="49"/>
      <c r="X111" s="49"/>
      <c r="Y111" s="49"/>
      <c r="Z111" s="49"/>
      <c r="AA111" s="49"/>
      <c r="AB111" s="49"/>
      <c r="AC111" s="49"/>
      <c r="AD111" s="49"/>
      <c r="AE111" s="49"/>
      <c r="AF111" s="49"/>
      <c r="AG111" s="49"/>
      <c r="AH111" s="49"/>
      <c r="AI111" s="49"/>
      <c r="AJ111" s="49"/>
      <c r="AK111" s="49"/>
      <c r="AL111" s="49"/>
      <c r="AM111" s="49"/>
      <c r="AN111" s="49"/>
      <c r="AO111" s="49"/>
      <c r="AP111" s="49"/>
      <c r="AQ111" s="49"/>
      <c r="AR111" s="49"/>
      <c r="AS111" s="49"/>
    </row>
    <row r="112" spans="1:45" x14ac:dyDescent="0.35">
      <c r="A112" s="49"/>
      <c r="B112" s="49"/>
      <c r="C112" s="49"/>
      <c r="D112" s="49"/>
      <c r="E112" s="49"/>
      <c r="F112" s="49"/>
      <c r="G112" s="49"/>
      <c r="H112" s="49"/>
      <c r="I112" s="49"/>
      <c r="J112" s="49"/>
      <c r="K112" s="49"/>
      <c r="L112" s="49"/>
      <c r="M112" s="49"/>
      <c r="N112" s="49"/>
      <c r="O112" s="49"/>
      <c r="P112" s="49"/>
      <c r="Q112" s="49"/>
      <c r="R112" s="49"/>
      <c r="S112" s="49"/>
      <c r="T112" s="49"/>
      <c r="U112" s="49"/>
      <c r="V112" s="49"/>
      <c r="W112" s="49"/>
      <c r="X112" s="49"/>
      <c r="Y112" s="49"/>
      <c r="Z112" s="49"/>
      <c r="AA112" s="49"/>
      <c r="AB112" s="49"/>
      <c r="AC112" s="49"/>
      <c r="AD112" s="49"/>
      <c r="AE112" s="49"/>
      <c r="AF112" s="49"/>
      <c r="AG112" s="49"/>
      <c r="AH112" s="49"/>
      <c r="AI112" s="49"/>
      <c r="AJ112" s="49"/>
      <c r="AK112" s="49"/>
      <c r="AL112" s="49"/>
      <c r="AM112" s="49"/>
      <c r="AN112" s="49"/>
      <c r="AO112" s="49"/>
      <c r="AP112" s="49"/>
      <c r="AQ112" s="49"/>
      <c r="AR112" s="49"/>
      <c r="AS112" s="49"/>
    </row>
    <row r="113" spans="1:45" x14ac:dyDescent="0.35">
      <c r="A113" s="49"/>
      <c r="B113" s="49"/>
      <c r="C113" s="49"/>
      <c r="D113" s="49"/>
      <c r="E113" s="49"/>
      <c r="F113" s="49"/>
      <c r="G113" s="49"/>
      <c r="H113" s="49"/>
      <c r="I113" s="49"/>
      <c r="J113" s="49"/>
      <c r="K113" s="49"/>
      <c r="L113" s="49"/>
      <c r="M113" s="49"/>
      <c r="N113" s="49"/>
      <c r="O113" s="49"/>
      <c r="P113" s="49"/>
      <c r="Q113" s="49"/>
      <c r="R113" s="49"/>
      <c r="S113" s="49"/>
      <c r="T113" s="49"/>
      <c r="U113" s="49"/>
      <c r="V113" s="49"/>
      <c r="W113" s="49"/>
      <c r="X113" s="49"/>
      <c r="Y113" s="49"/>
      <c r="Z113" s="49"/>
      <c r="AA113" s="49"/>
      <c r="AB113" s="49"/>
      <c r="AC113" s="49"/>
      <c r="AD113" s="49"/>
      <c r="AE113" s="49"/>
      <c r="AF113" s="49"/>
      <c r="AG113" s="49"/>
      <c r="AH113" s="49"/>
      <c r="AI113" s="49"/>
      <c r="AJ113" s="49"/>
      <c r="AK113" s="49"/>
      <c r="AL113" s="49"/>
      <c r="AM113" s="49"/>
      <c r="AN113" s="49"/>
      <c r="AO113" s="49"/>
      <c r="AP113" s="49"/>
      <c r="AQ113" s="49"/>
      <c r="AR113" s="49"/>
      <c r="AS113" s="49"/>
    </row>
    <row r="114" spans="1:45" x14ac:dyDescent="0.35">
      <c r="A114" s="49"/>
      <c r="B114" s="49"/>
      <c r="C114" s="49"/>
      <c r="D114" s="49"/>
      <c r="E114" s="49"/>
      <c r="F114" s="49"/>
      <c r="G114" s="49"/>
      <c r="H114" s="49"/>
      <c r="I114" s="49"/>
      <c r="J114" s="49"/>
      <c r="K114" s="49"/>
      <c r="L114" s="49"/>
      <c r="M114" s="49"/>
      <c r="N114" s="49"/>
      <c r="O114" s="49"/>
      <c r="P114" s="49"/>
      <c r="Q114" s="49"/>
      <c r="R114" s="49"/>
      <c r="S114" s="49"/>
      <c r="T114" s="49"/>
      <c r="U114" s="49"/>
      <c r="V114" s="49"/>
      <c r="W114" s="49"/>
      <c r="X114" s="49"/>
      <c r="Y114" s="49"/>
      <c r="Z114" s="49"/>
      <c r="AA114" s="49"/>
      <c r="AB114" s="49"/>
      <c r="AC114" s="49"/>
      <c r="AD114" s="49"/>
      <c r="AE114" s="49"/>
      <c r="AF114" s="49"/>
      <c r="AG114" s="49"/>
      <c r="AH114" s="49"/>
      <c r="AI114" s="49"/>
      <c r="AJ114" s="49"/>
      <c r="AK114" s="49"/>
      <c r="AL114" s="49"/>
      <c r="AM114" s="49"/>
      <c r="AN114" s="49"/>
      <c r="AO114" s="49"/>
      <c r="AP114" s="49"/>
      <c r="AQ114" s="49"/>
      <c r="AR114" s="49"/>
      <c r="AS114" s="49"/>
    </row>
    <row r="115" spans="1:45" x14ac:dyDescent="0.35">
      <c r="A115" s="49"/>
      <c r="B115" s="49"/>
      <c r="C115" s="49"/>
      <c r="D115" s="49"/>
      <c r="E115" s="49"/>
      <c r="F115" s="49"/>
      <c r="G115" s="49"/>
      <c r="H115" s="49"/>
      <c r="I115" s="49"/>
      <c r="J115" s="49"/>
      <c r="K115" s="49"/>
      <c r="L115" s="49"/>
      <c r="M115" s="49"/>
      <c r="N115" s="49"/>
      <c r="O115" s="49"/>
      <c r="P115" s="49"/>
      <c r="Q115" s="49"/>
      <c r="R115" s="49"/>
      <c r="S115" s="49"/>
      <c r="T115" s="49"/>
      <c r="U115" s="49"/>
      <c r="V115" s="49"/>
      <c r="W115" s="49"/>
      <c r="X115" s="49"/>
      <c r="Y115" s="49"/>
      <c r="Z115" s="49"/>
      <c r="AA115" s="49"/>
      <c r="AB115" s="49"/>
      <c r="AC115" s="49"/>
      <c r="AD115" s="49"/>
      <c r="AE115" s="49"/>
      <c r="AF115" s="49"/>
      <c r="AG115" s="49"/>
      <c r="AH115" s="49"/>
      <c r="AI115" s="49"/>
      <c r="AJ115" s="49"/>
      <c r="AK115" s="49"/>
      <c r="AL115" s="49"/>
      <c r="AM115" s="49"/>
      <c r="AN115" s="49"/>
      <c r="AO115" s="49"/>
      <c r="AP115" s="49"/>
      <c r="AQ115" s="49"/>
      <c r="AR115" s="49"/>
      <c r="AS115" s="49"/>
    </row>
    <row r="116" spans="1:45" x14ac:dyDescent="0.35">
      <c r="A116" s="49"/>
      <c r="B116" s="49"/>
      <c r="C116" s="49"/>
      <c r="D116" s="49"/>
      <c r="E116" s="49"/>
      <c r="F116" s="49"/>
      <c r="G116" s="49"/>
      <c r="H116" s="49"/>
      <c r="I116" s="49"/>
      <c r="J116" s="49"/>
      <c r="K116" s="49"/>
      <c r="L116" s="49"/>
      <c r="M116" s="49"/>
      <c r="N116" s="49"/>
      <c r="O116" s="49"/>
      <c r="P116" s="49"/>
      <c r="Q116" s="49"/>
      <c r="R116" s="49"/>
      <c r="S116" s="49"/>
      <c r="T116" s="49"/>
      <c r="U116" s="49"/>
      <c r="V116" s="49"/>
      <c r="W116" s="49"/>
      <c r="X116" s="49"/>
      <c r="Y116" s="49"/>
      <c r="Z116" s="49"/>
      <c r="AA116" s="49"/>
      <c r="AB116" s="49"/>
      <c r="AC116" s="49"/>
      <c r="AD116" s="49"/>
      <c r="AE116" s="49"/>
      <c r="AF116" s="49"/>
      <c r="AG116" s="49"/>
      <c r="AH116" s="49"/>
      <c r="AI116" s="49"/>
      <c r="AJ116" s="49"/>
      <c r="AK116" s="49"/>
      <c r="AL116" s="49"/>
      <c r="AM116" s="49"/>
      <c r="AN116" s="49"/>
      <c r="AO116" s="49"/>
      <c r="AP116" s="49"/>
      <c r="AQ116" s="49"/>
      <c r="AR116" s="49"/>
      <c r="AS116" s="49"/>
    </row>
    <row r="117" spans="1:45" x14ac:dyDescent="0.35">
      <c r="A117" s="49"/>
      <c r="B117" s="49"/>
      <c r="C117" s="49"/>
      <c r="D117" s="49"/>
      <c r="E117" s="49"/>
      <c r="F117" s="49"/>
      <c r="G117" s="49"/>
      <c r="H117" s="49"/>
      <c r="I117" s="49"/>
      <c r="J117" s="49"/>
      <c r="K117" s="49"/>
      <c r="L117" s="49"/>
      <c r="M117" s="49"/>
      <c r="N117" s="49"/>
      <c r="O117" s="49"/>
      <c r="P117" s="49"/>
      <c r="Q117" s="49"/>
      <c r="R117" s="49"/>
      <c r="S117" s="49"/>
      <c r="T117" s="49"/>
      <c r="U117" s="49"/>
      <c r="V117" s="49"/>
      <c r="W117" s="49"/>
      <c r="X117" s="49"/>
      <c r="Y117" s="49"/>
      <c r="Z117" s="49"/>
      <c r="AA117" s="49"/>
      <c r="AB117" s="49"/>
      <c r="AC117" s="49"/>
      <c r="AD117" s="49"/>
      <c r="AE117" s="49"/>
      <c r="AF117" s="49"/>
      <c r="AG117" s="49"/>
      <c r="AH117" s="49"/>
      <c r="AI117" s="49"/>
      <c r="AJ117" s="49"/>
      <c r="AK117" s="49"/>
      <c r="AL117" s="49"/>
      <c r="AM117" s="49"/>
      <c r="AN117" s="49"/>
      <c r="AO117" s="49"/>
      <c r="AP117" s="49"/>
      <c r="AQ117" s="49"/>
      <c r="AR117" s="49"/>
      <c r="AS117" s="49"/>
    </row>
    <row r="118" spans="1:45" x14ac:dyDescent="0.35">
      <c r="A118" s="49"/>
      <c r="B118" s="49"/>
      <c r="C118" s="49"/>
      <c r="D118" s="49"/>
      <c r="E118" s="49"/>
      <c r="F118" s="49"/>
      <c r="G118" s="49"/>
      <c r="H118" s="49"/>
      <c r="I118" s="49"/>
      <c r="J118" s="49"/>
      <c r="K118" s="49"/>
      <c r="L118" s="49"/>
      <c r="M118" s="49"/>
      <c r="N118" s="49"/>
      <c r="O118" s="49"/>
      <c r="P118" s="49"/>
      <c r="Q118" s="49"/>
      <c r="R118" s="49"/>
      <c r="S118" s="49"/>
      <c r="T118" s="49"/>
      <c r="U118" s="49"/>
      <c r="V118" s="49"/>
      <c r="W118" s="49"/>
      <c r="X118" s="49"/>
      <c r="Y118" s="49"/>
      <c r="Z118" s="49"/>
      <c r="AA118" s="49"/>
      <c r="AB118" s="49"/>
      <c r="AC118" s="49"/>
      <c r="AD118" s="49"/>
      <c r="AE118" s="49"/>
      <c r="AF118" s="49"/>
      <c r="AG118" s="49"/>
      <c r="AH118" s="49"/>
      <c r="AI118" s="49"/>
      <c r="AJ118" s="49"/>
      <c r="AK118" s="49"/>
      <c r="AL118" s="49"/>
      <c r="AM118" s="49"/>
      <c r="AN118" s="49"/>
      <c r="AO118" s="49"/>
      <c r="AP118" s="49"/>
      <c r="AQ118" s="49"/>
      <c r="AR118" s="49"/>
      <c r="AS118" s="49"/>
    </row>
    <row r="119" spans="1:45" x14ac:dyDescent="0.35">
      <c r="A119" s="49"/>
      <c r="B119" s="49"/>
      <c r="C119" s="49"/>
      <c r="D119" s="49"/>
      <c r="E119" s="49"/>
      <c r="F119" s="49"/>
      <c r="G119" s="49"/>
      <c r="H119" s="49"/>
      <c r="I119" s="49"/>
      <c r="J119" s="49"/>
      <c r="K119" s="49"/>
      <c r="L119" s="49"/>
      <c r="M119" s="49"/>
      <c r="N119" s="49"/>
      <c r="O119" s="49"/>
      <c r="P119" s="49"/>
      <c r="Q119" s="49"/>
      <c r="R119" s="49"/>
      <c r="S119" s="49"/>
      <c r="T119" s="49"/>
      <c r="U119" s="49"/>
      <c r="V119" s="49"/>
      <c r="W119" s="49"/>
      <c r="X119" s="49"/>
      <c r="Y119" s="49"/>
      <c r="Z119" s="49"/>
      <c r="AA119" s="49"/>
      <c r="AB119" s="49"/>
      <c r="AC119" s="49"/>
      <c r="AD119" s="49"/>
      <c r="AE119" s="49"/>
      <c r="AF119" s="49"/>
      <c r="AG119" s="49"/>
      <c r="AH119" s="49"/>
      <c r="AI119" s="49"/>
      <c r="AJ119" s="49"/>
      <c r="AK119" s="49"/>
      <c r="AL119" s="49"/>
      <c r="AM119" s="49"/>
      <c r="AN119" s="49"/>
      <c r="AO119" s="49"/>
      <c r="AP119" s="49"/>
      <c r="AQ119" s="49"/>
      <c r="AR119" s="49"/>
      <c r="AS119" s="49"/>
    </row>
    <row r="120" spans="1:45" x14ac:dyDescent="0.35">
      <c r="A120" s="49"/>
      <c r="B120" s="49"/>
      <c r="C120" s="49"/>
      <c r="D120" s="49"/>
      <c r="E120" s="49"/>
      <c r="F120" s="49"/>
      <c r="G120" s="49"/>
      <c r="H120" s="49"/>
      <c r="I120" s="49"/>
      <c r="J120" s="49"/>
      <c r="K120" s="49"/>
      <c r="L120" s="49"/>
      <c r="M120" s="49"/>
      <c r="N120" s="49"/>
      <c r="O120" s="49"/>
      <c r="P120" s="49"/>
      <c r="Q120" s="49"/>
      <c r="R120" s="49"/>
      <c r="S120" s="49"/>
      <c r="T120" s="49"/>
      <c r="U120" s="49"/>
      <c r="V120" s="49"/>
      <c r="W120" s="49"/>
      <c r="X120" s="49"/>
      <c r="Y120" s="49"/>
      <c r="Z120" s="49"/>
      <c r="AA120" s="49"/>
      <c r="AB120" s="49"/>
      <c r="AC120" s="49"/>
      <c r="AD120" s="49"/>
      <c r="AE120" s="49"/>
      <c r="AF120" s="49"/>
      <c r="AG120" s="49"/>
      <c r="AH120" s="49"/>
      <c r="AI120" s="49"/>
      <c r="AJ120" s="49"/>
      <c r="AK120" s="49"/>
      <c r="AL120" s="49"/>
      <c r="AM120" s="49"/>
      <c r="AN120" s="49"/>
      <c r="AO120" s="49"/>
      <c r="AP120" s="49"/>
      <c r="AQ120" s="49"/>
      <c r="AR120" s="49"/>
      <c r="AS120" s="49"/>
    </row>
    <row r="121" spans="1:45" x14ac:dyDescent="0.35">
      <c r="A121" s="49"/>
      <c r="B121" s="49"/>
      <c r="C121" s="49"/>
      <c r="D121" s="49"/>
      <c r="E121" s="49"/>
      <c r="F121" s="49"/>
      <c r="G121" s="49"/>
      <c r="H121" s="49"/>
      <c r="I121" s="49"/>
      <c r="J121" s="49"/>
      <c r="K121" s="49"/>
      <c r="L121" s="49"/>
      <c r="M121" s="49"/>
      <c r="N121" s="49"/>
      <c r="O121" s="49"/>
      <c r="P121" s="49"/>
      <c r="Q121" s="49"/>
      <c r="R121" s="49"/>
      <c r="S121" s="49"/>
      <c r="T121" s="49"/>
      <c r="U121" s="49"/>
      <c r="V121" s="49"/>
      <c r="W121" s="49"/>
      <c r="X121" s="49"/>
      <c r="Y121" s="49"/>
      <c r="Z121" s="49"/>
      <c r="AA121" s="49"/>
      <c r="AB121" s="49"/>
      <c r="AC121" s="49"/>
      <c r="AD121" s="49"/>
      <c r="AE121" s="49"/>
      <c r="AF121" s="49"/>
      <c r="AG121" s="49"/>
      <c r="AH121" s="49"/>
      <c r="AI121" s="49"/>
      <c r="AJ121" s="49"/>
      <c r="AK121" s="49"/>
      <c r="AL121" s="49"/>
      <c r="AM121" s="49"/>
      <c r="AN121" s="49"/>
      <c r="AO121" s="49"/>
      <c r="AP121" s="49"/>
      <c r="AQ121" s="49"/>
      <c r="AR121" s="49"/>
      <c r="AS121" s="49"/>
    </row>
    <row r="122" spans="1:45" x14ac:dyDescent="0.35">
      <c r="A122" s="49"/>
      <c r="B122" s="49"/>
      <c r="C122" s="49"/>
      <c r="D122" s="49"/>
      <c r="E122" s="49"/>
      <c r="F122" s="49"/>
      <c r="G122" s="49"/>
      <c r="H122" s="49"/>
      <c r="I122" s="49"/>
      <c r="J122" s="49"/>
      <c r="K122" s="49"/>
      <c r="L122" s="49"/>
      <c r="M122" s="49"/>
      <c r="N122" s="49"/>
      <c r="O122" s="49"/>
      <c r="P122" s="49"/>
      <c r="Q122" s="49"/>
      <c r="R122" s="49"/>
      <c r="S122" s="49"/>
      <c r="T122" s="49"/>
      <c r="U122" s="49"/>
      <c r="V122" s="49"/>
      <c r="W122" s="49"/>
      <c r="X122" s="49"/>
      <c r="Y122" s="49"/>
      <c r="Z122" s="49"/>
      <c r="AA122" s="49"/>
      <c r="AB122" s="49"/>
      <c r="AC122" s="49"/>
      <c r="AD122" s="49"/>
      <c r="AE122" s="49"/>
      <c r="AF122" s="49"/>
      <c r="AG122" s="49"/>
      <c r="AH122" s="49"/>
      <c r="AI122" s="49"/>
      <c r="AJ122" s="49"/>
      <c r="AK122" s="49"/>
      <c r="AL122" s="49"/>
      <c r="AM122" s="49"/>
      <c r="AN122" s="49"/>
      <c r="AO122" s="49"/>
      <c r="AP122" s="49"/>
      <c r="AQ122" s="49"/>
      <c r="AR122" s="49"/>
      <c r="AS122" s="49"/>
    </row>
    <row r="123" spans="1:45" x14ac:dyDescent="0.35">
      <c r="A123" s="49"/>
      <c r="B123" s="49"/>
      <c r="C123" s="49"/>
      <c r="D123" s="49"/>
      <c r="E123" s="49"/>
      <c r="F123" s="49"/>
      <c r="G123" s="49"/>
      <c r="H123" s="49"/>
      <c r="I123" s="49"/>
      <c r="J123" s="49"/>
      <c r="K123" s="49"/>
      <c r="L123" s="49"/>
      <c r="M123" s="49"/>
      <c r="N123" s="49"/>
      <c r="O123" s="49"/>
      <c r="P123" s="49"/>
      <c r="Q123" s="49"/>
      <c r="R123" s="49"/>
      <c r="S123" s="49"/>
      <c r="T123" s="49"/>
      <c r="U123" s="49"/>
      <c r="V123" s="49"/>
      <c r="W123" s="49"/>
      <c r="X123" s="49"/>
      <c r="Y123" s="49"/>
      <c r="Z123" s="49"/>
      <c r="AA123" s="49"/>
      <c r="AB123" s="49"/>
      <c r="AC123" s="49"/>
      <c r="AD123" s="49"/>
      <c r="AE123" s="49"/>
      <c r="AF123" s="49"/>
      <c r="AG123" s="49"/>
      <c r="AH123" s="49"/>
      <c r="AI123" s="49"/>
      <c r="AJ123" s="49"/>
      <c r="AK123" s="49"/>
      <c r="AL123" s="49"/>
      <c r="AM123" s="49"/>
      <c r="AN123" s="49"/>
      <c r="AO123" s="49"/>
      <c r="AP123" s="49"/>
      <c r="AQ123" s="49"/>
      <c r="AR123" s="49"/>
      <c r="AS123" s="49"/>
    </row>
    <row r="124" spans="1:45" x14ac:dyDescent="0.35">
      <c r="A124" s="49"/>
      <c r="B124" s="49"/>
      <c r="C124" s="49"/>
      <c r="D124" s="49"/>
      <c r="E124" s="49"/>
      <c r="F124" s="49"/>
      <c r="G124" s="49"/>
      <c r="H124" s="49"/>
      <c r="I124" s="49"/>
      <c r="J124" s="49"/>
      <c r="K124" s="49"/>
      <c r="L124" s="49"/>
      <c r="M124" s="49"/>
      <c r="N124" s="49"/>
      <c r="O124" s="49"/>
      <c r="P124" s="49"/>
      <c r="Q124" s="49"/>
      <c r="R124" s="49"/>
      <c r="S124" s="49"/>
      <c r="T124" s="49"/>
      <c r="U124" s="49"/>
      <c r="V124" s="49"/>
      <c r="W124" s="49"/>
      <c r="X124" s="49"/>
      <c r="Y124" s="49"/>
      <c r="Z124" s="49"/>
      <c r="AA124" s="49"/>
      <c r="AB124" s="49"/>
      <c r="AC124" s="49"/>
      <c r="AD124" s="49"/>
      <c r="AE124" s="49"/>
      <c r="AF124" s="49"/>
      <c r="AG124" s="49"/>
      <c r="AH124" s="49"/>
      <c r="AI124" s="49"/>
      <c r="AJ124" s="49"/>
      <c r="AK124" s="49"/>
      <c r="AL124" s="49"/>
      <c r="AM124" s="49"/>
      <c r="AN124" s="49"/>
      <c r="AO124" s="49"/>
      <c r="AP124" s="49"/>
      <c r="AQ124" s="49"/>
      <c r="AR124" s="49"/>
      <c r="AS124" s="49"/>
    </row>
    <row r="125" spans="1:45" x14ac:dyDescent="0.35">
      <c r="A125" s="49"/>
      <c r="B125" s="49"/>
      <c r="C125" s="49"/>
      <c r="D125" s="49"/>
      <c r="E125" s="49"/>
      <c r="F125" s="49"/>
      <c r="G125" s="49"/>
      <c r="H125" s="49"/>
      <c r="I125" s="49"/>
      <c r="J125" s="49"/>
      <c r="K125" s="49"/>
      <c r="L125" s="49"/>
      <c r="M125" s="49"/>
      <c r="N125" s="49"/>
      <c r="O125" s="49"/>
      <c r="P125" s="49"/>
      <c r="Q125" s="49"/>
      <c r="R125" s="49"/>
      <c r="S125" s="49"/>
      <c r="T125" s="49"/>
      <c r="U125" s="49"/>
      <c r="V125" s="49"/>
      <c r="W125" s="49"/>
      <c r="X125" s="49"/>
      <c r="Y125" s="49"/>
      <c r="Z125" s="49"/>
      <c r="AA125" s="49"/>
      <c r="AB125" s="49"/>
      <c r="AC125" s="49"/>
      <c r="AD125" s="49"/>
      <c r="AE125" s="49"/>
      <c r="AF125" s="49"/>
      <c r="AG125" s="49"/>
      <c r="AH125" s="49"/>
      <c r="AI125" s="49"/>
      <c r="AJ125" s="49"/>
      <c r="AK125" s="49"/>
      <c r="AL125" s="49"/>
      <c r="AM125" s="49"/>
      <c r="AN125" s="49"/>
      <c r="AO125" s="49"/>
      <c r="AP125" s="49"/>
      <c r="AQ125" s="49"/>
      <c r="AR125" s="49"/>
      <c r="AS125" s="49"/>
    </row>
    <row r="126" spans="1:45" x14ac:dyDescent="0.35">
      <c r="A126" s="49"/>
      <c r="B126" s="49"/>
      <c r="C126" s="49"/>
      <c r="D126" s="49"/>
      <c r="E126" s="49"/>
      <c r="F126" s="49"/>
      <c r="G126" s="49"/>
      <c r="H126" s="49"/>
      <c r="I126" s="49"/>
      <c r="J126" s="49"/>
      <c r="K126" s="49"/>
      <c r="L126" s="49"/>
      <c r="M126" s="49"/>
      <c r="N126" s="49"/>
      <c r="O126" s="49"/>
      <c r="P126" s="49"/>
      <c r="Q126" s="49"/>
      <c r="R126" s="49"/>
      <c r="S126" s="49"/>
      <c r="T126" s="49"/>
      <c r="U126" s="49"/>
      <c r="V126" s="49"/>
      <c r="W126" s="49"/>
      <c r="X126" s="49"/>
      <c r="Y126" s="49"/>
      <c r="Z126" s="49"/>
      <c r="AA126" s="49"/>
      <c r="AB126" s="49"/>
      <c r="AC126" s="49"/>
      <c r="AD126" s="49"/>
      <c r="AE126" s="49"/>
      <c r="AF126" s="49"/>
      <c r="AG126" s="49"/>
      <c r="AH126" s="49"/>
      <c r="AI126" s="49"/>
      <c r="AJ126" s="49"/>
      <c r="AK126" s="49"/>
      <c r="AL126" s="49"/>
      <c r="AM126" s="49"/>
      <c r="AN126" s="49"/>
      <c r="AO126" s="49"/>
      <c r="AP126" s="49"/>
      <c r="AQ126" s="49"/>
      <c r="AR126" s="49"/>
      <c r="AS126" s="49"/>
    </row>
    <row r="127" spans="1:45" x14ac:dyDescent="0.35">
      <c r="A127" s="49"/>
      <c r="B127" s="49"/>
      <c r="C127" s="49"/>
      <c r="D127" s="49"/>
      <c r="E127" s="49"/>
      <c r="F127" s="49"/>
      <c r="G127" s="49"/>
      <c r="H127" s="49"/>
      <c r="I127" s="49"/>
      <c r="J127" s="49"/>
      <c r="K127" s="49"/>
      <c r="L127" s="49"/>
      <c r="M127" s="49"/>
      <c r="N127" s="49"/>
      <c r="O127" s="49"/>
      <c r="P127" s="49"/>
      <c r="Q127" s="49"/>
      <c r="R127" s="49"/>
      <c r="S127" s="49"/>
      <c r="T127" s="49"/>
      <c r="U127" s="49"/>
      <c r="V127" s="49"/>
      <c r="W127" s="49"/>
      <c r="X127" s="49"/>
      <c r="Y127" s="49"/>
      <c r="Z127" s="49"/>
      <c r="AA127" s="49"/>
      <c r="AB127" s="49"/>
      <c r="AC127" s="49"/>
      <c r="AD127" s="49"/>
      <c r="AE127" s="49"/>
      <c r="AF127" s="49"/>
      <c r="AG127" s="49"/>
      <c r="AH127" s="49"/>
      <c r="AI127" s="49"/>
      <c r="AJ127" s="49"/>
      <c r="AK127" s="49"/>
      <c r="AL127" s="49"/>
      <c r="AM127" s="49"/>
      <c r="AN127" s="49"/>
      <c r="AO127" s="49"/>
      <c r="AP127" s="49"/>
      <c r="AQ127" s="49"/>
      <c r="AR127" s="49"/>
      <c r="AS127" s="49"/>
    </row>
    <row r="128" spans="1:45" x14ac:dyDescent="0.35">
      <c r="A128" s="49"/>
      <c r="B128" s="49"/>
      <c r="C128" s="49"/>
      <c r="D128" s="49"/>
      <c r="E128" s="49"/>
      <c r="F128" s="49"/>
      <c r="G128" s="49"/>
      <c r="H128" s="49"/>
      <c r="I128" s="49"/>
      <c r="J128" s="49"/>
      <c r="K128" s="49"/>
      <c r="L128" s="49"/>
      <c r="M128" s="49"/>
      <c r="N128" s="49"/>
      <c r="O128" s="49"/>
      <c r="P128" s="49"/>
      <c r="Q128" s="49"/>
      <c r="R128" s="49"/>
      <c r="S128" s="49"/>
      <c r="T128" s="49"/>
      <c r="U128" s="49"/>
      <c r="V128" s="49"/>
      <c r="W128" s="49"/>
      <c r="X128" s="49"/>
      <c r="Y128" s="49"/>
      <c r="Z128" s="49"/>
      <c r="AA128" s="49"/>
      <c r="AB128" s="49"/>
      <c r="AC128" s="49"/>
      <c r="AD128" s="49"/>
      <c r="AE128" s="49"/>
      <c r="AF128" s="49"/>
      <c r="AG128" s="49"/>
      <c r="AH128" s="49"/>
      <c r="AI128" s="49"/>
      <c r="AJ128" s="49"/>
      <c r="AK128" s="49"/>
      <c r="AL128" s="49"/>
      <c r="AM128" s="49"/>
      <c r="AN128" s="49"/>
      <c r="AO128" s="49"/>
      <c r="AP128" s="49"/>
      <c r="AQ128" s="49"/>
      <c r="AR128" s="49"/>
      <c r="AS128" s="49"/>
    </row>
    <row r="129" spans="1:45" x14ac:dyDescent="0.35">
      <c r="A129" s="49"/>
      <c r="B129" s="49"/>
      <c r="C129" s="49"/>
      <c r="D129" s="49"/>
      <c r="E129" s="49"/>
      <c r="F129" s="49"/>
      <c r="G129" s="49"/>
      <c r="H129" s="49"/>
      <c r="I129" s="49"/>
      <c r="J129" s="49"/>
      <c r="K129" s="49"/>
      <c r="L129" s="49"/>
      <c r="M129" s="49"/>
      <c r="N129" s="49"/>
      <c r="O129" s="49"/>
      <c r="P129" s="49"/>
      <c r="Q129" s="49"/>
      <c r="R129" s="49"/>
      <c r="S129" s="49"/>
      <c r="T129" s="49"/>
      <c r="U129" s="49"/>
      <c r="V129" s="49"/>
      <c r="W129" s="49"/>
      <c r="X129" s="49"/>
      <c r="Y129" s="49"/>
      <c r="Z129" s="49"/>
      <c r="AA129" s="49"/>
      <c r="AB129" s="49"/>
      <c r="AC129" s="49"/>
      <c r="AD129" s="49"/>
      <c r="AE129" s="49"/>
      <c r="AF129" s="49"/>
      <c r="AG129" s="49"/>
      <c r="AH129" s="49"/>
      <c r="AI129" s="49"/>
      <c r="AJ129" s="49"/>
      <c r="AK129" s="49"/>
      <c r="AL129" s="49"/>
      <c r="AM129" s="49"/>
      <c r="AN129" s="49"/>
      <c r="AO129" s="49"/>
      <c r="AP129" s="49"/>
      <c r="AQ129" s="49"/>
      <c r="AR129" s="49"/>
      <c r="AS129" s="49"/>
    </row>
    <row r="130" spans="1:45" x14ac:dyDescent="0.35">
      <c r="A130" s="49"/>
      <c r="B130" s="49"/>
      <c r="C130" s="49"/>
      <c r="D130" s="49"/>
      <c r="E130" s="49"/>
      <c r="F130" s="49"/>
      <c r="G130" s="49"/>
      <c r="H130" s="49"/>
      <c r="I130" s="49"/>
      <c r="J130" s="49"/>
      <c r="K130" s="49"/>
      <c r="L130" s="49"/>
      <c r="M130" s="49"/>
      <c r="N130" s="49"/>
      <c r="O130" s="49"/>
      <c r="P130" s="49"/>
      <c r="Q130" s="49"/>
      <c r="R130" s="49"/>
      <c r="S130" s="49"/>
      <c r="T130" s="49"/>
      <c r="U130" s="49"/>
      <c r="V130" s="49"/>
      <c r="W130" s="49"/>
      <c r="X130" s="49"/>
      <c r="Y130" s="49"/>
      <c r="Z130" s="49"/>
      <c r="AA130" s="49"/>
      <c r="AB130" s="49"/>
      <c r="AC130" s="49"/>
      <c r="AD130" s="49"/>
      <c r="AE130" s="49"/>
      <c r="AF130" s="49"/>
      <c r="AG130" s="49"/>
      <c r="AH130" s="49"/>
      <c r="AI130" s="49"/>
      <c r="AJ130" s="49"/>
      <c r="AK130" s="49"/>
      <c r="AL130" s="49"/>
      <c r="AM130" s="49"/>
      <c r="AN130" s="49"/>
      <c r="AO130" s="49"/>
      <c r="AP130" s="49"/>
      <c r="AQ130" s="49"/>
      <c r="AR130" s="49"/>
      <c r="AS130" s="49"/>
    </row>
    <row r="131" spans="1:45" x14ac:dyDescent="0.35">
      <c r="A131" s="49"/>
      <c r="B131" s="49"/>
      <c r="C131" s="49"/>
      <c r="D131" s="49"/>
      <c r="E131" s="49"/>
      <c r="F131" s="49"/>
      <c r="G131" s="49"/>
      <c r="H131" s="49"/>
      <c r="I131" s="49"/>
      <c r="J131" s="49"/>
      <c r="K131" s="49"/>
      <c r="L131" s="49"/>
      <c r="M131" s="49"/>
      <c r="N131" s="49"/>
      <c r="O131" s="49"/>
      <c r="P131" s="49"/>
      <c r="Q131" s="49"/>
      <c r="R131" s="49"/>
      <c r="S131" s="49"/>
      <c r="T131" s="49"/>
      <c r="U131" s="49"/>
      <c r="V131" s="49"/>
      <c r="W131" s="49"/>
      <c r="X131" s="49"/>
      <c r="Y131" s="49"/>
      <c r="Z131" s="49"/>
      <c r="AA131" s="49"/>
      <c r="AB131" s="49"/>
      <c r="AC131" s="49"/>
      <c r="AD131" s="49"/>
      <c r="AE131" s="49"/>
      <c r="AF131" s="49"/>
      <c r="AG131" s="49"/>
      <c r="AH131" s="49"/>
      <c r="AI131" s="49"/>
      <c r="AJ131" s="49"/>
      <c r="AK131" s="49"/>
      <c r="AL131" s="49"/>
      <c r="AM131" s="49"/>
      <c r="AN131" s="49"/>
      <c r="AO131" s="49"/>
      <c r="AP131" s="49"/>
      <c r="AQ131" s="49"/>
      <c r="AR131" s="49"/>
      <c r="AS131" s="49"/>
    </row>
    <row r="132" spans="1:45" x14ac:dyDescent="0.35">
      <c r="A132" s="49"/>
      <c r="B132" s="49"/>
      <c r="C132" s="49"/>
      <c r="D132" s="49"/>
      <c r="E132" s="49"/>
      <c r="F132" s="49"/>
      <c r="G132" s="49"/>
      <c r="H132" s="49"/>
      <c r="I132" s="49"/>
      <c r="J132" s="49"/>
      <c r="K132" s="49"/>
      <c r="L132" s="49"/>
      <c r="M132" s="49"/>
      <c r="N132" s="49"/>
      <c r="O132" s="49"/>
      <c r="P132" s="49"/>
      <c r="Q132" s="49"/>
      <c r="R132" s="49"/>
      <c r="S132" s="49"/>
      <c r="T132" s="49"/>
      <c r="U132" s="49"/>
      <c r="V132" s="49"/>
      <c r="W132" s="49"/>
      <c r="X132" s="49"/>
      <c r="Y132" s="49"/>
      <c r="Z132" s="49"/>
      <c r="AA132" s="49"/>
      <c r="AB132" s="49"/>
      <c r="AC132" s="49"/>
      <c r="AD132" s="49"/>
      <c r="AE132" s="49"/>
      <c r="AF132" s="49"/>
      <c r="AG132" s="49"/>
      <c r="AH132" s="49"/>
      <c r="AI132" s="49"/>
      <c r="AJ132" s="49"/>
      <c r="AK132" s="49"/>
      <c r="AL132" s="49"/>
      <c r="AM132" s="49"/>
      <c r="AN132" s="49"/>
      <c r="AO132" s="49"/>
      <c r="AP132" s="49"/>
      <c r="AQ132" s="49"/>
      <c r="AR132" s="49"/>
      <c r="AS132" s="49"/>
    </row>
    <row r="133" spans="1:45" x14ac:dyDescent="0.35">
      <c r="A133" s="49"/>
      <c r="B133" s="49"/>
      <c r="C133" s="49"/>
      <c r="D133" s="49"/>
      <c r="E133" s="49"/>
      <c r="F133" s="49"/>
      <c r="G133" s="49"/>
      <c r="H133" s="49"/>
      <c r="I133" s="49"/>
      <c r="J133" s="49"/>
      <c r="K133" s="49"/>
      <c r="L133" s="49"/>
      <c r="M133" s="49"/>
      <c r="N133" s="49"/>
      <c r="O133" s="49"/>
      <c r="P133" s="49"/>
      <c r="Q133" s="49"/>
      <c r="R133" s="49"/>
      <c r="S133" s="49"/>
      <c r="T133" s="49"/>
      <c r="U133" s="49"/>
      <c r="V133" s="49"/>
      <c r="W133" s="49"/>
      <c r="X133" s="49"/>
      <c r="Y133" s="49"/>
      <c r="Z133" s="49"/>
      <c r="AA133" s="49"/>
      <c r="AB133" s="49"/>
      <c r="AC133" s="49"/>
      <c r="AD133" s="49"/>
      <c r="AE133" s="49"/>
      <c r="AF133" s="49"/>
      <c r="AG133" s="49"/>
      <c r="AH133" s="49"/>
      <c r="AI133" s="49"/>
      <c r="AJ133" s="49"/>
      <c r="AK133" s="49"/>
      <c r="AL133" s="49"/>
      <c r="AM133" s="49"/>
      <c r="AN133" s="49"/>
      <c r="AO133" s="49"/>
      <c r="AP133" s="49"/>
      <c r="AQ133" s="49"/>
      <c r="AR133" s="49"/>
      <c r="AS133" s="49"/>
    </row>
    <row r="134" spans="1:45" x14ac:dyDescent="0.35">
      <c r="A134" s="49"/>
      <c r="B134" s="49"/>
      <c r="C134" s="49"/>
      <c r="D134" s="49"/>
      <c r="E134" s="49"/>
      <c r="F134" s="49"/>
      <c r="G134" s="49"/>
      <c r="H134" s="49"/>
      <c r="I134" s="49"/>
      <c r="J134" s="49"/>
      <c r="K134" s="49"/>
      <c r="L134" s="49"/>
      <c r="M134" s="49"/>
      <c r="N134" s="49"/>
      <c r="O134" s="49"/>
      <c r="P134" s="49"/>
      <c r="Q134" s="49"/>
      <c r="R134" s="49"/>
      <c r="S134" s="49"/>
      <c r="T134" s="49"/>
      <c r="U134" s="49"/>
      <c r="V134" s="49"/>
      <c r="W134" s="49"/>
      <c r="X134" s="49"/>
      <c r="Y134" s="49"/>
      <c r="Z134" s="49"/>
      <c r="AA134" s="49"/>
      <c r="AB134" s="49"/>
      <c r="AC134" s="49"/>
      <c r="AD134" s="49"/>
      <c r="AE134" s="49"/>
      <c r="AF134" s="49"/>
      <c r="AG134" s="49"/>
      <c r="AH134" s="49"/>
      <c r="AI134" s="49"/>
      <c r="AJ134" s="49"/>
      <c r="AK134" s="49"/>
      <c r="AL134" s="49"/>
      <c r="AM134" s="49"/>
      <c r="AN134" s="49"/>
      <c r="AO134" s="49"/>
      <c r="AP134" s="49"/>
      <c r="AQ134" s="49"/>
      <c r="AR134" s="49"/>
      <c r="AS134" s="49"/>
    </row>
    <row r="135" spans="1:45" x14ac:dyDescent="0.35">
      <c r="A135" s="49"/>
      <c r="B135" s="49"/>
      <c r="C135" s="49"/>
      <c r="D135" s="49"/>
      <c r="E135" s="49"/>
      <c r="F135" s="49"/>
      <c r="G135" s="49"/>
      <c r="H135" s="49"/>
      <c r="I135" s="49"/>
      <c r="J135" s="49"/>
      <c r="K135" s="49"/>
      <c r="L135" s="49"/>
      <c r="M135" s="49"/>
      <c r="N135" s="49"/>
      <c r="O135" s="49"/>
      <c r="P135" s="49"/>
      <c r="Q135" s="49"/>
      <c r="R135" s="49"/>
      <c r="S135" s="49"/>
      <c r="T135" s="49"/>
      <c r="U135" s="49"/>
      <c r="V135" s="49"/>
      <c r="W135" s="49"/>
      <c r="X135" s="49"/>
      <c r="Y135" s="49"/>
      <c r="Z135" s="49"/>
      <c r="AA135" s="49"/>
      <c r="AB135" s="49"/>
      <c r="AC135" s="49"/>
      <c r="AD135" s="49"/>
      <c r="AE135" s="49"/>
      <c r="AF135" s="49"/>
      <c r="AG135" s="49"/>
      <c r="AH135" s="49"/>
      <c r="AI135" s="49"/>
      <c r="AJ135" s="49"/>
      <c r="AK135" s="49"/>
      <c r="AL135" s="49"/>
      <c r="AM135" s="49"/>
      <c r="AN135" s="49"/>
      <c r="AO135" s="49"/>
      <c r="AP135" s="49"/>
      <c r="AQ135" s="49"/>
      <c r="AR135" s="49"/>
      <c r="AS135" s="49"/>
    </row>
    <row r="136" spans="1:45" x14ac:dyDescent="0.35">
      <c r="A136" s="49"/>
      <c r="B136" s="49"/>
      <c r="C136" s="49"/>
      <c r="D136" s="49"/>
      <c r="E136" s="49"/>
      <c r="F136" s="49"/>
      <c r="G136" s="49"/>
      <c r="H136" s="49"/>
      <c r="I136" s="49"/>
      <c r="J136" s="49"/>
      <c r="K136" s="49"/>
      <c r="L136" s="49"/>
      <c r="M136" s="49"/>
      <c r="N136" s="49"/>
      <c r="O136" s="49"/>
      <c r="P136" s="49"/>
      <c r="Q136" s="49"/>
      <c r="R136" s="49"/>
      <c r="S136" s="49"/>
      <c r="T136" s="49"/>
      <c r="U136" s="49"/>
      <c r="V136" s="49"/>
      <c r="W136" s="49"/>
      <c r="X136" s="49"/>
      <c r="Y136" s="49"/>
      <c r="Z136" s="49"/>
      <c r="AA136" s="49"/>
      <c r="AB136" s="49"/>
      <c r="AC136" s="49"/>
      <c r="AD136" s="49"/>
      <c r="AE136" s="49"/>
      <c r="AF136" s="49"/>
      <c r="AG136" s="49"/>
      <c r="AH136" s="49"/>
      <c r="AI136" s="49"/>
      <c r="AJ136" s="49"/>
      <c r="AK136" s="49"/>
      <c r="AL136" s="49"/>
      <c r="AM136" s="49"/>
      <c r="AN136" s="49"/>
      <c r="AO136" s="49"/>
      <c r="AP136" s="49"/>
      <c r="AQ136" s="49"/>
      <c r="AR136" s="49"/>
      <c r="AS136" s="49"/>
    </row>
    <row r="137" spans="1:45" x14ac:dyDescent="0.35">
      <c r="A137" s="49"/>
      <c r="B137" s="49"/>
      <c r="C137" s="49"/>
      <c r="D137" s="49"/>
      <c r="E137" s="49"/>
      <c r="F137" s="49"/>
      <c r="G137" s="49"/>
      <c r="H137" s="49"/>
      <c r="I137" s="49"/>
      <c r="J137" s="49"/>
      <c r="K137" s="49"/>
      <c r="L137" s="49"/>
      <c r="M137" s="49"/>
      <c r="N137" s="49"/>
      <c r="O137" s="49"/>
      <c r="P137" s="49"/>
      <c r="Q137" s="49"/>
      <c r="R137" s="49"/>
      <c r="S137" s="49"/>
      <c r="T137" s="49"/>
      <c r="U137" s="49"/>
      <c r="V137" s="49"/>
      <c r="W137" s="49"/>
      <c r="X137" s="49"/>
      <c r="Y137" s="49"/>
      <c r="Z137" s="49"/>
      <c r="AA137" s="49"/>
      <c r="AB137" s="49"/>
      <c r="AC137" s="49"/>
      <c r="AD137" s="49"/>
      <c r="AE137" s="49"/>
      <c r="AF137" s="49"/>
      <c r="AG137" s="49"/>
      <c r="AH137" s="49"/>
      <c r="AI137" s="49"/>
      <c r="AJ137" s="49"/>
      <c r="AK137" s="49"/>
      <c r="AL137" s="49"/>
      <c r="AM137" s="49"/>
      <c r="AN137" s="49"/>
      <c r="AO137" s="49"/>
      <c r="AP137" s="49"/>
      <c r="AQ137" s="49"/>
      <c r="AR137" s="49"/>
      <c r="AS137" s="49"/>
    </row>
    <row r="138" spans="1:45" x14ac:dyDescent="0.35">
      <c r="A138" s="49"/>
      <c r="B138" s="49"/>
      <c r="C138" s="49"/>
      <c r="D138" s="49"/>
      <c r="E138" s="49"/>
      <c r="F138" s="49"/>
      <c r="G138" s="49"/>
      <c r="H138" s="49"/>
      <c r="I138" s="49"/>
      <c r="J138" s="49"/>
      <c r="K138" s="49"/>
      <c r="L138" s="49"/>
      <c r="M138" s="49"/>
      <c r="N138" s="49"/>
      <c r="O138" s="49"/>
      <c r="P138" s="49"/>
      <c r="Q138" s="49"/>
      <c r="R138" s="49"/>
      <c r="S138" s="49"/>
      <c r="T138" s="49"/>
      <c r="U138" s="49"/>
      <c r="V138" s="49"/>
      <c r="W138" s="49"/>
      <c r="X138" s="49"/>
      <c r="Y138" s="49"/>
      <c r="Z138" s="49"/>
      <c r="AA138" s="49"/>
      <c r="AB138" s="49"/>
      <c r="AC138" s="49"/>
      <c r="AD138" s="49"/>
      <c r="AE138" s="49"/>
      <c r="AF138" s="49"/>
      <c r="AG138" s="49"/>
      <c r="AH138" s="49"/>
      <c r="AI138" s="49"/>
      <c r="AJ138" s="49"/>
      <c r="AK138" s="49"/>
      <c r="AL138" s="49"/>
      <c r="AM138" s="49"/>
      <c r="AN138" s="49"/>
      <c r="AO138" s="49"/>
      <c r="AP138" s="49"/>
      <c r="AQ138" s="49"/>
      <c r="AR138" s="49"/>
      <c r="AS138" s="49"/>
    </row>
    <row r="139" spans="1:45" x14ac:dyDescent="0.35">
      <c r="A139" s="49"/>
      <c r="B139" s="49"/>
      <c r="C139" s="49"/>
      <c r="D139" s="49"/>
      <c r="E139" s="49"/>
      <c r="F139" s="49"/>
      <c r="G139" s="49"/>
      <c r="H139" s="49"/>
      <c r="I139" s="49"/>
      <c r="J139" s="49"/>
      <c r="K139" s="49"/>
      <c r="L139" s="49"/>
      <c r="M139" s="49"/>
      <c r="N139" s="49"/>
      <c r="O139" s="49"/>
      <c r="P139" s="49"/>
      <c r="Q139" s="49"/>
      <c r="R139" s="49"/>
      <c r="S139" s="49"/>
      <c r="T139" s="49"/>
      <c r="U139" s="49"/>
      <c r="V139" s="49"/>
      <c r="W139" s="49"/>
      <c r="X139" s="49"/>
      <c r="Y139" s="49"/>
      <c r="Z139" s="49"/>
      <c r="AA139" s="49"/>
      <c r="AB139" s="49"/>
      <c r="AC139" s="49"/>
      <c r="AD139" s="49"/>
      <c r="AE139" s="49"/>
      <c r="AF139" s="49"/>
      <c r="AG139" s="49"/>
      <c r="AH139" s="49"/>
      <c r="AI139" s="49"/>
      <c r="AJ139" s="49"/>
      <c r="AK139" s="49"/>
      <c r="AL139" s="49"/>
      <c r="AM139" s="49"/>
      <c r="AN139" s="49"/>
      <c r="AO139" s="49"/>
      <c r="AP139" s="49"/>
      <c r="AQ139" s="49"/>
      <c r="AR139" s="49"/>
      <c r="AS139" s="49"/>
    </row>
    <row r="140" spans="1:45" x14ac:dyDescent="0.35">
      <c r="A140" s="49"/>
      <c r="B140" s="49"/>
      <c r="C140" s="49"/>
      <c r="D140" s="49"/>
      <c r="E140" s="49"/>
      <c r="F140" s="49"/>
      <c r="G140" s="49"/>
      <c r="H140" s="49"/>
      <c r="I140" s="49"/>
      <c r="J140" s="49"/>
      <c r="K140" s="49"/>
      <c r="L140" s="49"/>
      <c r="M140" s="49"/>
      <c r="N140" s="49"/>
      <c r="O140" s="49"/>
      <c r="P140" s="49"/>
      <c r="Q140" s="49"/>
      <c r="R140" s="49"/>
      <c r="S140" s="49"/>
      <c r="T140" s="49"/>
      <c r="U140" s="49"/>
      <c r="V140" s="49"/>
      <c r="W140" s="49"/>
      <c r="X140" s="49"/>
      <c r="Y140" s="49"/>
      <c r="Z140" s="49"/>
      <c r="AA140" s="49"/>
      <c r="AB140" s="49"/>
      <c r="AC140" s="49"/>
      <c r="AD140" s="49"/>
      <c r="AE140" s="49"/>
      <c r="AF140" s="49"/>
      <c r="AG140" s="49"/>
      <c r="AH140" s="49"/>
      <c r="AI140" s="49"/>
      <c r="AJ140" s="49"/>
      <c r="AK140" s="49"/>
      <c r="AL140" s="49"/>
      <c r="AM140" s="49"/>
      <c r="AN140" s="49"/>
      <c r="AO140" s="49"/>
      <c r="AP140" s="49"/>
      <c r="AQ140" s="49"/>
      <c r="AR140" s="49"/>
      <c r="AS140" s="49"/>
    </row>
    <row r="141" spans="1:45" x14ac:dyDescent="0.35">
      <c r="A141" s="49"/>
      <c r="B141" s="49"/>
      <c r="C141" s="49"/>
      <c r="D141" s="49"/>
      <c r="E141" s="49"/>
      <c r="F141" s="49"/>
      <c r="G141" s="49"/>
      <c r="H141" s="49"/>
      <c r="I141" s="49"/>
      <c r="J141" s="49"/>
      <c r="K141" s="49"/>
      <c r="L141" s="49"/>
      <c r="M141" s="49"/>
      <c r="N141" s="49"/>
      <c r="O141" s="49"/>
      <c r="P141" s="49"/>
      <c r="Q141" s="49"/>
      <c r="R141" s="49"/>
      <c r="S141" s="49"/>
      <c r="T141" s="49"/>
      <c r="U141" s="49"/>
      <c r="V141" s="49"/>
      <c r="W141" s="49"/>
      <c r="X141" s="49"/>
      <c r="Y141" s="49"/>
      <c r="Z141" s="49"/>
      <c r="AA141" s="49"/>
      <c r="AB141" s="49"/>
      <c r="AC141" s="49"/>
      <c r="AD141" s="49"/>
      <c r="AE141" s="49"/>
      <c r="AF141" s="49"/>
      <c r="AG141" s="49"/>
      <c r="AH141" s="49"/>
      <c r="AI141" s="49"/>
      <c r="AJ141" s="49"/>
      <c r="AK141" s="49"/>
      <c r="AL141" s="49"/>
      <c r="AM141" s="49"/>
      <c r="AN141" s="49"/>
      <c r="AO141" s="49"/>
      <c r="AP141" s="49"/>
      <c r="AQ141" s="49"/>
      <c r="AR141" s="49"/>
      <c r="AS141" s="49"/>
    </row>
    <row r="142" spans="1:45" x14ac:dyDescent="0.35">
      <c r="A142" s="49"/>
      <c r="B142" s="49"/>
      <c r="C142" s="49"/>
      <c r="D142" s="49"/>
      <c r="E142" s="49"/>
      <c r="F142" s="49"/>
      <c r="G142" s="49"/>
      <c r="H142" s="49"/>
      <c r="I142" s="49"/>
      <c r="J142" s="49"/>
      <c r="K142" s="49"/>
      <c r="L142" s="49"/>
      <c r="M142" s="49"/>
      <c r="N142" s="49"/>
      <c r="O142" s="49"/>
      <c r="P142" s="49"/>
      <c r="Q142" s="49"/>
      <c r="R142" s="49"/>
      <c r="S142" s="49"/>
      <c r="T142" s="49"/>
      <c r="U142" s="49"/>
      <c r="V142" s="49"/>
      <c r="W142" s="49"/>
      <c r="X142" s="49"/>
      <c r="Y142" s="49"/>
      <c r="Z142" s="49"/>
      <c r="AA142" s="49"/>
      <c r="AB142" s="49"/>
      <c r="AC142" s="49"/>
      <c r="AD142" s="49"/>
      <c r="AE142" s="49"/>
      <c r="AF142" s="49"/>
      <c r="AG142" s="49"/>
      <c r="AH142" s="49"/>
      <c r="AI142" s="49"/>
      <c r="AJ142" s="49"/>
      <c r="AK142" s="49"/>
      <c r="AL142" s="49"/>
      <c r="AM142" s="49"/>
      <c r="AN142" s="49"/>
      <c r="AO142" s="49"/>
      <c r="AP142" s="49"/>
      <c r="AQ142" s="49"/>
      <c r="AR142" s="49"/>
      <c r="AS142" s="49"/>
    </row>
    <row r="143" spans="1:45" x14ac:dyDescent="0.35">
      <c r="A143" s="49"/>
      <c r="B143" s="49"/>
      <c r="C143" s="49"/>
      <c r="D143" s="49"/>
      <c r="E143" s="49"/>
      <c r="F143" s="49"/>
      <c r="G143" s="49"/>
      <c r="H143" s="49"/>
      <c r="I143" s="49"/>
      <c r="J143" s="49"/>
      <c r="K143" s="49"/>
      <c r="L143" s="49"/>
      <c r="M143" s="49"/>
      <c r="N143" s="49"/>
      <c r="O143" s="49"/>
      <c r="P143" s="49"/>
      <c r="Q143" s="49"/>
      <c r="R143" s="49"/>
      <c r="S143" s="49"/>
      <c r="T143" s="49"/>
      <c r="U143" s="49"/>
      <c r="V143" s="49"/>
      <c r="W143" s="49"/>
      <c r="X143" s="49"/>
      <c r="Y143" s="49"/>
      <c r="Z143" s="49"/>
      <c r="AA143" s="49"/>
      <c r="AB143" s="49"/>
      <c r="AC143" s="49"/>
      <c r="AD143" s="49"/>
      <c r="AE143" s="49"/>
      <c r="AF143" s="49"/>
      <c r="AG143" s="49"/>
      <c r="AH143" s="49"/>
      <c r="AI143" s="49"/>
      <c r="AJ143" s="49"/>
      <c r="AK143" s="49"/>
      <c r="AL143" s="49"/>
      <c r="AM143" s="49"/>
      <c r="AN143" s="49"/>
      <c r="AO143" s="49"/>
      <c r="AP143" s="49"/>
      <c r="AQ143" s="49"/>
      <c r="AR143" s="49"/>
      <c r="AS143" s="49"/>
    </row>
    <row r="144" spans="1:45" x14ac:dyDescent="0.35">
      <c r="A144" s="49"/>
      <c r="B144" s="49"/>
      <c r="C144" s="49"/>
      <c r="D144" s="49"/>
      <c r="E144" s="49"/>
      <c r="F144" s="49"/>
      <c r="G144" s="49"/>
      <c r="H144" s="49"/>
      <c r="I144" s="49"/>
      <c r="J144" s="49"/>
      <c r="K144" s="49"/>
      <c r="L144" s="49"/>
      <c r="M144" s="49"/>
      <c r="N144" s="49"/>
      <c r="O144" s="49"/>
      <c r="P144" s="49"/>
      <c r="Q144" s="49"/>
      <c r="R144" s="49"/>
      <c r="S144" s="49"/>
      <c r="T144" s="49"/>
      <c r="U144" s="49"/>
      <c r="V144" s="49"/>
      <c r="W144" s="49"/>
      <c r="X144" s="49"/>
      <c r="Y144" s="49"/>
      <c r="Z144" s="49"/>
      <c r="AA144" s="49"/>
      <c r="AB144" s="49"/>
      <c r="AC144" s="49"/>
      <c r="AD144" s="49"/>
      <c r="AE144" s="49"/>
      <c r="AF144" s="49"/>
      <c r="AG144" s="49"/>
      <c r="AH144" s="49"/>
      <c r="AI144" s="49"/>
      <c r="AJ144" s="49"/>
      <c r="AK144" s="49"/>
      <c r="AL144" s="49"/>
      <c r="AM144" s="49"/>
      <c r="AN144" s="49"/>
      <c r="AO144" s="49"/>
      <c r="AP144" s="49"/>
      <c r="AQ144" s="49"/>
      <c r="AR144" s="49"/>
      <c r="AS144" s="49"/>
    </row>
    <row r="145" spans="1:45" x14ac:dyDescent="0.35">
      <c r="A145" s="49"/>
      <c r="B145" s="49"/>
      <c r="C145" s="49"/>
      <c r="D145" s="49"/>
      <c r="E145" s="49"/>
      <c r="F145" s="49"/>
      <c r="G145" s="49"/>
      <c r="H145" s="49"/>
      <c r="I145" s="49"/>
      <c r="J145" s="49"/>
      <c r="K145" s="49"/>
      <c r="L145" s="49"/>
      <c r="M145" s="49"/>
      <c r="N145" s="49"/>
      <c r="O145" s="49"/>
      <c r="P145" s="49"/>
      <c r="Q145" s="49"/>
      <c r="R145" s="49"/>
      <c r="S145" s="49"/>
      <c r="T145" s="49"/>
      <c r="U145" s="49"/>
      <c r="V145" s="49"/>
      <c r="W145" s="49"/>
      <c r="X145" s="49"/>
      <c r="Y145" s="49"/>
      <c r="Z145" s="49"/>
      <c r="AA145" s="49"/>
      <c r="AB145" s="49"/>
      <c r="AC145" s="49"/>
      <c r="AD145" s="49"/>
      <c r="AE145" s="49"/>
      <c r="AF145" s="49"/>
      <c r="AG145" s="49"/>
      <c r="AH145" s="49"/>
      <c r="AI145" s="49"/>
      <c r="AJ145" s="49"/>
      <c r="AK145" s="49"/>
      <c r="AL145" s="49"/>
      <c r="AM145" s="49"/>
      <c r="AN145" s="49"/>
      <c r="AO145" s="49"/>
      <c r="AP145" s="49"/>
      <c r="AQ145" s="49"/>
      <c r="AR145" s="49"/>
      <c r="AS145" s="49"/>
    </row>
    <row r="146" spans="1:45" x14ac:dyDescent="0.35">
      <c r="A146" s="49"/>
      <c r="B146" s="49"/>
      <c r="C146" s="49"/>
      <c r="D146" s="49"/>
      <c r="E146" s="49"/>
      <c r="F146" s="49"/>
      <c r="G146" s="49"/>
      <c r="H146" s="49"/>
      <c r="I146" s="49"/>
      <c r="J146" s="49"/>
      <c r="K146" s="49"/>
      <c r="L146" s="49"/>
      <c r="M146" s="49"/>
      <c r="N146" s="49"/>
      <c r="O146" s="49"/>
      <c r="P146" s="49"/>
      <c r="Q146" s="49"/>
      <c r="R146" s="49"/>
      <c r="S146" s="49"/>
      <c r="T146" s="49"/>
      <c r="U146" s="49"/>
      <c r="V146" s="49"/>
      <c r="W146" s="49"/>
      <c r="X146" s="49"/>
      <c r="Y146" s="49"/>
      <c r="Z146" s="49"/>
      <c r="AA146" s="49"/>
      <c r="AB146" s="49"/>
      <c r="AC146" s="49"/>
      <c r="AD146" s="49"/>
      <c r="AE146" s="49"/>
      <c r="AF146" s="49"/>
      <c r="AG146" s="49"/>
      <c r="AH146" s="49"/>
      <c r="AI146" s="49"/>
      <c r="AJ146" s="49"/>
      <c r="AK146" s="49"/>
      <c r="AL146" s="49"/>
      <c r="AM146" s="49"/>
      <c r="AN146" s="49"/>
      <c r="AO146" s="49"/>
      <c r="AP146" s="49"/>
      <c r="AQ146" s="49"/>
      <c r="AR146" s="49"/>
      <c r="AS146" s="49"/>
    </row>
    <row r="147" spans="1:45" x14ac:dyDescent="0.35">
      <c r="A147" s="49"/>
      <c r="B147" s="49"/>
      <c r="C147" s="49"/>
      <c r="D147" s="49"/>
      <c r="E147" s="49"/>
      <c r="F147" s="49"/>
      <c r="G147" s="49"/>
      <c r="H147" s="49"/>
      <c r="I147" s="49"/>
      <c r="J147" s="49"/>
      <c r="K147" s="49"/>
      <c r="L147" s="49"/>
      <c r="M147" s="49"/>
      <c r="N147" s="49"/>
      <c r="O147" s="49"/>
      <c r="P147" s="49"/>
      <c r="Q147" s="49"/>
      <c r="R147" s="49"/>
      <c r="S147" s="49"/>
      <c r="T147" s="49"/>
      <c r="U147" s="49"/>
      <c r="V147" s="49"/>
      <c r="W147" s="49"/>
      <c r="X147" s="49"/>
      <c r="Y147" s="49"/>
      <c r="Z147" s="49"/>
      <c r="AA147" s="49"/>
      <c r="AB147" s="49"/>
      <c r="AC147" s="49"/>
      <c r="AD147" s="49"/>
      <c r="AE147" s="49"/>
      <c r="AF147" s="49"/>
      <c r="AG147" s="49"/>
      <c r="AH147" s="49"/>
      <c r="AI147" s="49"/>
      <c r="AJ147" s="49"/>
      <c r="AK147" s="49"/>
      <c r="AL147" s="49"/>
      <c r="AM147" s="49"/>
      <c r="AN147" s="49"/>
      <c r="AO147" s="49"/>
      <c r="AP147" s="49"/>
      <c r="AQ147" s="49"/>
      <c r="AR147" s="49"/>
      <c r="AS147" s="49"/>
    </row>
    <row r="148" spans="1:45" x14ac:dyDescent="0.35">
      <c r="A148" s="49"/>
      <c r="B148" s="49"/>
      <c r="C148" s="49"/>
      <c r="D148" s="49"/>
      <c r="E148" s="49"/>
      <c r="F148" s="49"/>
      <c r="G148" s="49"/>
      <c r="H148" s="49"/>
      <c r="I148" s="49"/>
      <c r="J148" s="49"/>
      <c r="K148" s="49"/>
      <c r="L148" s="49"/>
      <c r="M148" s="49"/>
      <c r="N148" s="49"/>
      <c r="O148" s="49"/>
      <c r="P148" s="49"/>
      <c r="Q148" s="49"/>
      <c r="R148" s="49"/>
      <c r="S148" s="49"/>
      <c r="T148" s="49"/>
      <c r="U148" s="49"/>
      <c r="V148" s="49"/>
      <c r="W148" s="49"/>
      <c r="X148" s="49"/>
      <c r="Y148" s="49"/>
      <c r="Z148" s="49"/>
      <c r="AA148" s="49"/>
      <c r="AB148" s="49"/>
      <c r="AC148" s="49"/>
      <c r="AD148" s="49"/>
      <c r="AE148" s="49"/>
      <c r="AF148" s="49"/>
      <c r="AG148" s="49"/>
      <c r="AH148" s="49"/>
      <c r="AI148" s="49"/>
      <c r="AJ148" s="49"/>
      <c r="AK148" s="49"/>
      <c r="AL148" s="49"/>
      <c r="AM148" s="49"/>
      <c r="AN148" s="49"/>
      <c r="AO148" s="49"/>
      <c r="AP148" s="49"/>
      <c r="AQ148" s="49"/>
      <c r="AR148" s="49"/>
      <c r="AS148" s="49"/>
    </row>
    <row r="149" spans="1:45" x14ac:dyDescent="0.35">
      <c r="A149" s="49"/>
      <c r="B149" s="49"/>
      <c r="C149" s="49"/>
      <c r="D149" s="49"/>
      <c r="E149" s="49"/>
      <c r="F149" s="49"/>
      <c r="G149" s="49"/>
      <c r="H149" s="49"/>
      <c r="I149" s="49"/>
      <c r="J149" s="49"/>
      <c r="K149" s="49"/>
      <c r="L149" s="49"/>
      <c r="M149" s="49"/>
      <c r="N149" s="49"/>
      <c r="O149" s="49"/>
      <c r="P149" s="49"/>
      <c r="Q149" s="49"/>
      <c r="R149" s="49"/>
      <c r="S149" s="49"/>
      <c r="T149" s="49"/>
      <c r="U149" s="49"/>
      <c r="V149" s="49"/>
      <c r="W149" s="49"/>
      <c r="X149" s="49"/>
      <c r="Y149" s="49"/>
      <c r="Z149" s="49"/>
      <c r="AA149" s="49"/>
      <c r="AB149" s="49"/>
      <c r="AC149" s="49"/>
      <c r="AD149" s="49"/>
      <c r="AE149" s="49"/>
      <c r="AF149" s="49"/>
      <c r="AG149" s="49"/>
      <c r="AH149" s="49"/>
      <c r="AI149" s="49"/>
      <c r="AJ149" s="49"/>
      <c r="AK149" s="49"/>
      <c r="AL149" s="49"/>
      <c r="AM149" s="49"/>
      <c r="AN149" s="49"/>
      <c r="AO149" s="49"/>
      <c r="AP149" s="49"/>
      <c r="AQ149" s="49"/>
      <c r="AR149" s="49"/>
      <c r="AS149" s="49"/>
    </row>
    <row r="150" spans="1:45" x14ac:dyDescent="0.35">
      <c r="A150" s="49"/>
      <c r="B150" s="49"/>
      <c r="C150" s="49"/>
      <c r="D150" s="49"/>
      <c r="E150" s="49"/>
      <c r="F150" s="49"/>
      <c r="G150" s="49"/>
      <c r="H150" s="49"/>
      <c r="I150" s="49"/>
      <c r="J150" s="49"/>
      <c r="K150" s="49"/>
      <c r="L150" s="49"/>
      <c r="M150" s="49"/>
      <c r="N150" s="49"/>
      <c r="O150" s="49"/>
      <c r="P150" s="49"/>
      <c r="Q150" s="49"/>
      <c r="R150" s="49"/>
      <c r="S150" s="49"/>
      <c r="T150" s="49"/>
      <c r="U150" s="49"/>
      <c r="V150" s="49"/>
      <c r="W150" s="49"/>
      <c r="X150" s="49"/>
      <c r="Y150" s="49"/>
      <c r="Z150" s="49"/>
      <c r="AA150" s="49"/>
      <c r="AB150" s="49"/>
      <c r="AC150" s="49"/>
      <c r="AD150" s="49"/>
      <c r="AE150" s="49"/>
      <c r="AF150" s="49"/>
      <c r="AG150" s="49"/>
      <c r="AH150" s="49"/>
      <c r="AI150" s="49"/>
      <c r="AJ150" s="49"/>
      <c r="AK150" s="49"/>
      <c r="AL150" s="49"/>
      <c r="AM150" s="49"/>
      <c r="AN150" s="49"/>
      <c r="AO150" s="49"/>
      <c r="AP150" s="49"/>
      <c r="AQ150" s="49"/>
      <c r="AR150" s="49"/>
      <c r="AS150" s="49"/>
    </row>
    <row r="151" spans="1:45" x14ac:dyDescent="0.35">
      <c r="A151" s="49"/>
      <c r="B151" s="49"/>
      <c r="C151" s="49"/>
      <c r="D151" s="49"/>
      <c r="E151" s="49"/>
      <c r="F151" s="49"/>
      <c r="G151" s="49"/>
      <c r="H151" s="49"/>
      <c r="I151" s="49"/>
      <c r="J151" s="49"/>
      <c r="K151" s="49"/>
      <c r="L151" s="49"/>
      <c r="M151" s="49"/>
      <c r="N151" s="49"/>
      <c r="O151" s="49"/>
      <c r="P151" s="49"/>
      <c r="Q151" s="49"/>
      <c r="R151" s="49"/>
      <c r="S151" s="49"/>
      <c r="T151" s="49"/>
      <c r="U151" s="49"/>
      <c r="V151" s="49"/>
      <c r="W151" s="49"/>
      <c r="X151" s="49"/>
      <c r="Y151" s="49"/>
      <c r="Z151" s="49"/>
      <c r="AA151" s="49"/>
      <c r="AB151" s="49"/>
      <c r="AC151" s="49"/>
      <c r="AD151" s="49"/>
      <c r="AE151" s="49"/>
      <c r="AF151" s="49"/>
      <c r="AG151" s="49"/>
      <c r="AH151" s="49"/>
      <c r="AI151" s="49"/>
      <c r="AJ151" s="49"/>
      <c r="AK151" s="49"/>
      <c r="AL151" s="49"/>
      <c r="AM151" s="49"/>
      <c r="AN151" s="49"/>
      <c r="AO151" s="49"/>
      <c r="AP151" s="49"/>
      <c r="AQ151" s="49"/>
      <c r="AR151" s="49"/>
      <c r="AS151" s="49"/>
    </row>
    <row r="152" spans="1:45" x14ac:dyDescent="0.35">
      <c r="A152" s="49"/>
      <c r="B152" s="49"/>
      <c r="C152" s="49"/>
      <c r="D152" s="49"/>
      <c r="E152" s="49"/>
      <c r="F152" s="49"/>
      <c r="G152" s="49"/>
      <c r="H152" s="49"/>
      <c r="I152" s="49"/>
      <c r="J152" s="49"/>
      <c r="K152" s="49"/>
      <c r="L152" s="49"/>
      <c r="M152" s="49"/>
      <c r="N152" s="49"/>
      <c r="O152" s="49"/>
      <c r="P152" s="49"/>
      <c r="Q152" s="49"/>
      <c r="R152" s="49"/>
      <c r="S152" s="49"/>
      <c r="T152" s="49"/>
      <c r="U152" s="49"/>
      <c r="V152" s="49"/>
      <c r="W152" s="49"/>
      <c r="X152" s="49"/>
      <c r="Y152" s="49"/>
      <c r="Z152" s="49"/>
      <c r="AA152" s="49"/>
      <c r="AB152" s="49"/>
      <c r="AC152" s="49"/>
      <c r="AD152" s="49"/>
      <c r="AE152" s="49"/>
      <c r="AF152" s="49"/>
      <c r="AG152" s="49"/>
      <c r="AH152" s="49"/>
      <c r="AI152" s="49"/>
      <c r="AJ152" s="49"/>
      <c r="AK152" s="49"/>
      <c r="AL152" s="49"/>
      <c r="AM152" s="49"/>
      <c r="AN152" s="49"/>
      <c r="AO152" s="49"/>
      <c r="AP152" s="49"/>
      <c r="AQ152" s="49"/>
      <c r="AR152" s="49"/>
      <c r="AS152" s="49"/>
    </row>
    <row r="153" spans="1:45" x14ac:dyDescent="0.35">
      <c r="A153" s="49"/>
      <c r="B153" s="49"/>
      <c r="C153" s="49"/>
      <c r="D153" s="49"/>
      <c r="E153" s="49"/>
      <c r="F153" s="49"/>
      <c r="G153" s="49"/>
      <c r="H153" s="49"/>
      <c r="I153" s="49"/>
      <c r="J153" s="49"/>
      <c r="K153" s="49"/>
      <c r="L153" s="49"/>
      <c r="M153" s="49"/>
      <c r="N153" s="49"/>
      <c r="O153" s="49"/>
      <c r="P153" s="49"/>
      <c r="Q153" s="49"/>
      <c r="R153" s="49"/>
      <c r="S153" s="49"/>
      <c r="T153" s="49"/>
      <c r="U153" s="49"/>
      <c r="V153" s="49"/>
      <c r="W153" s="49"/>
      <c r="X153" s="49"/>
      <c r="Y153" s="49"/>
      <c r="Z153" s="49"/>
      <c r="AA153" s="49"/>
      <c r="AB153" s="49"/>
      <c r="AC153" s="49"/>
      <c r="AD153" s="49"/>
      <c r="AE153" s="49"/>
      <c r="AF153" s="49"/>
      <c r="AG153" s="49"/>
      <c r="AH153" s="49"/>
      <c r="AI153" s="49"/>
      <c r="AJ153" s="49"/>
      <c r="AK153" s="49"/>
      <c r="AL153" s="49"/>
      <c r="AM153" s="49"/>
      <c r="AN153" s="49"/>
      <c r="AO153" s="49"/>
      <c r="AP153" s="49"/>
      <c r="AQ153" s="49"/>
      <c r="AR153" s="49"/>
      <c r="AS153" s="49"/>
    </row>
    <row r="154" spans="1:45" x14ac:dyDescent="0.35">
      <c r="A154" s="49"/>
      <c r="B154" s="49"/>
      <c r="C154" s="49"/>
      <c r="D154" s="49"/>
      <c r="E154" s="49"/>
      <c r="F154" s="49"/>
      <c r="G154" s="49"/>
      <c r="H154" s="49"/>
      <c r="I154" s="49"/>
      <c r="J154" s="49"/>
      <c r="K154" s="49"/>
      <c r="L154" s="49"/>
      <c r="M154" s="49"/>
      <c r="N154" s="49"/>
      <c r="O154" s="49"/>
      <c r="P154" s="49"/>
      <c r="Q154" s="49"/>
      <c r="R154" s="49"/>
      <c r="S154" s="49"/>
      <c r="T154" s="49"/>
      <c r="U154" s="49"/>
      <c r="V154" s="49"/>
      <c r="W154" s="49"/>
      <c r="X154" s="49"/>
      <c r="Y154" s="49"/>
      <c r="Z154" s="49"/>
      <c r="AA154" s="49"/>
      <c r="AB154" s="49"/>
      <c r="AC154" s="49"/>
      <c r="AD154" s="49"/>
      <c r="AE154" s="49"/>
      <c r="AF154" s="49"/>
      <c r="AG154" s="49"/>
      <c r="AH154" s="49"/>
      <c r="AI154" s="49"/>
      <c r="AJ154" s="49"/>
      <c r="AK154" s="49"/>
      <c r="AL154" s="49"/>
      <c r="AM154" s="49"/>
      <c r="AN154" s="49"/>
      <c r="AO154" s="49"/>
      <c r="AP154" s="49"/>
      <c r="AQ154" s="49"/>
      <c r="AR154" s="49"/>
      <c r="AS154" s="49"/>
    </row>
    <row r="155" spans="1:45" x14ac:dyDescent="0.35">
      <c r="A155" s="49"/>
      <c r="B155" s="49"/>
      <c r="C155" s="49"/>
      <c r="D155" s="49"/>
      <c r="E155" s="49"/>
      <c r="F155" s="49"/>
      <c r="G155" s="49"/>
      <c r="H155" s="49"/>
      <c r="I155" s="49"/>
      <c r="J155" s="49"/>
      <c r="K155" s="49"/>
      <c r="L155" s="49"/>
      <c r="M155" s="49"/>
      <c r="N155" s="49"/>
      <c r="O155" s="49"/>
      <c r="P155" s="49"/>
      <c r="Q155" s="49"/>
      <c r="R155" s="49"/>
      <c r="S155" s="49"/>
      <c r="T155" s="49"/>
      <c r="U155" s="49"/>
      <c r="V155" s="49"/>
      <c r="W155" s="49"/>
      <c r="X155" s="49"/>
      <c r="Y155" s="49"/>
      <c r="Z155" s="49"/>
      <c r="AA155" s="49"/>
      <c r="AB155" s="49"/>
      <c r="AC155" s="49"/>
      <c r="AD155" s="49"/>
      <c r="AE155" s="49"/>
      <c r="AF155" s="49"/>
      <c r="AG155" s="49"/>
      <c r="AH155" s="49"/>
      <c r="AI155" s="49"/>
      <c r="AJ155" s="49"/>
      <c r="AK155" s="49"/>
      <c r="AL155" s="49"/>
      <c r="AM155" s="49"/>
      <c r="AN155" s="49"/>
      <c r="AO155" s="49"/>
      <c r="AP155" s="49"/>
      <c r="AQ155" s="49"/>
      <c r="AR155" s="49"/>
      <c r="AS155" s="49"/>
    </row>
    <row r="156" spans="1:45" x14ac:dyDescent="0.35">
      <c r="A156" s="49"/>
      <c r="B156" s="49"/>
      <c r="C156" s="49"/>
      <c r="D156" s="49"/>
      <c r="E156" s="49"/>
      <c r="F156" s="49"/>
      <c r="G156" s="49"/>
      <c r="H156" s="49"/>
      <c r="I156" s="49"/>
      <c r="J156" s="49"/>
      <c r="K156" s="49"/>
      <c r="L156" s="49"/>
      <c r="M156" s="49"/>
      <c r="N156" s="49"/>
      <c r="O156" s="49"/>
      <c r="P156" s="49"/>
      <c r="Q156" s="49"/>
      <c r="R156" s="49"/>
      <c r="S156" s="49"/>
      <c r="T156" s="49"/>
      <c r="U156" s="49"/>
      <c r="V156" s="49"/>
      <c r="W156" s="49"/>
      <c r="X156" s="49"/>
      <c r="Y156" s="49"/>
      <c r="Z156" s="49"/>
      <c r="AA156" s="49"/>
      <c r="AB156" s="49"/>
      <c r="AC156" s="49"/>
      <c r="AD156" s="49"/>
      <c r="AE156" s="49"/>
      <c r="AF156" s="49"/>
      <c r="AG156" s="49"/>
      <c r="AH156" s="49"/>
      <c r="AI156" s="49"/>
      <c r="AJ156" s="49"/>
      <c r="AK156" s="49"/>
      <c r="AL156" s="49"/>
      <c r="AM156" s="49"/>
      <c r="AN156" s="49"/>
      <c r="AO156" s="49"/>
      <c r="AP156" s="49"/>
      <c r="AQ156" s="49"/>
      <c r="AR156" s="49"/>
      <c r="AS156" s="49"/>
    </row>
    <row r="157" spans="1:45" x14ac:dyDescent="0.35">
      <c r="A157" s="49"/>
      <c r="B157" s="49"/>
      <c r="C157" s="49"/>
      <c r="D157" s="49"/>
      <c r="E157" s="49"/>
      <c r="F157" s="49"/>
      <c r="G157" s="49"/>
      <c r="H157" s="49"/>
      <c r="I157" s="49"/>
      <c r="J157" s="49"/>
      <c r="K157" s="49"/>
      <c r="L157" s="49"/>
      <c r="M157" s="49"/>
      <c r="N157" s="49"/>
      <c r="O157" s="49"/>
      <c r="P157" s="49"/>
      <c r="Q157" s="49"/>
      <c r="R157" s="49"/>
      <c r="S157" s="49"/>
      <c r="T157" s="49"/>
      <c r="U157" s="49"/>
      <c r="V157" s="49"/>
      <c r="W157" s="49"/>
      <c r="X157" s="49"/>
      <c r="Y157" s="49"/>
      <c r="Z157" s="49"/>
      <c r="AA157" s="49"/>
      <c r="AB157" s="49"/>
      <c r="AC157" s="49"/>
      <c r="AD157" s="49"/>
      <c r="AE157" s="49"/>
      <c r="AF157" s="49"/>
      <c r="AG157" s="49"/>
      <c r="AH157" s="49"/>
      <c r="AI157" s="49"/>
      <c r="AJ157" s="49"/>
      <c r="AK157" s="49"/>
      <c r="AL157" s="49"/>
      <c r="AM157" s="49"/>
      <c r="AN157" s="49"/>
      <c r="AO157" s="49"/>
      <c r="AP157" s="49"/>
      <c r="AQ157" s="49"/>
      <c r="AR157" s="49"/>
      <c r="AS157" s="49"/>
    </row>
    <row r="158" spans="1:45" x14ac:dyDescent="0.35">
      <c r="A158" s="49"/>
      <c r="B158" s="49"/>
      <c r="C158" s="49"/>
      <c r="D158" s="49"/>
      <c r="E158" s="49"/>
      <c r="F158" s="49"/>
      <c r="G158" s="49"/>
      <c r="H158" s="49"/>
      <c r="I158" s="49"/>
      <c r="J158" s="49"/>
      <c r="K158" s="49"/>
      <c r="L158" s="49"/>
      <c r="M158" s="49"/>
      <c r="N158" s="49"/>
      <c r="O158" s="49"/>
      <c r="P158" s="49"/>
      <c r="Q158" s="49"/>
      <c r="R158" s="49"/>
      <c r="S158" s="49"/>
      <c r="T158" s="49"/>
      <c r="U158" s="49"/>
      <c r="V158" s="49"/>
      <c r="W158" s="49"/>
      <c r="X158" s="49"/>
      <c r="Y158" s="49"/>
      <c r="Z158" s="49"/>
      <c r="AA158" s="49"/>
      <c r="AB158" s="49"/>
      <c r="AC158" s="49"/>
      <c r="AD158" s="49"/>
      <c r="AE158" s="49"/>
      <c r="AF158" s="49"/>
      <c r="AG158" s="49"/>
      <c r="AH158" s="49"/>
      <c r="AI158" s="49"/>
      <c r="AJ158" s="49"/>
      <c r="AK158" s="49"/>
      <c r="AL158" s="49"/>
      <c r="AM158" s="49"/>
      <c r="AN158" s="49"/>
      <c r="AO158" s="49"/>
      <c r="AP158" s="49"/>
      <c r="AQ158" s="49"/>
      <c r="AR158" s="49"/>
      <c r="AS158" s="49"/>
    </row>
    <row r="159" spans="1:45" x14ac:dyDescent="0.35">
      <c r="A159" s="49"/>
      <c r="B159" s="49"/>
      <c r="C159" s="49"/>
      <c r="D159" s="49"/>
      <c r="E159" s="49"/>
      <c r="F159" s="49"/>
      <c r="G159" s="49"/>
      <c r="H159" s="49"/>
      <c r="I159" s="49"/>
      <c r="J159" s="49"/>
      <c r="K159" s="49"/>
      <c r="L159" s="49"/>
      <c r="M159" s="49"/>
      <c r="N159" s="49"/>
      <c r="O159" s="49"/>
      <c r="P159" s="49"/>
      <c r="Q159" s="49"/>
      <c r="R159" s="49"/>
      <c r="S159" s="49"/>
      <c r="T159" s="49"/>
      <c r="U159" s="49"/>
      <c r="V159" s="49"/>
      <c r="W159" s="49"/>
      <c r="X159" s="49"/>
      <c r="Y159" s="49"/>
      <c r="Z159" s="49"/>
      <c r="AA159" s="49"/>
      <c r="AB159" s="49"/>
      <c r="AC159" s="49"/>
      <c r="AD159" s="49"/>
      <c r="AE159" s="49"/>
      <c r="AF159" s="49"/>
      <c r="AG159" s="49"/>
      <c r="AH159" s="49"/>
      <c r="AI159" s="49"/>
      <c r="AJ159" s="49"/>
      <c r="AK159" s="49"/>
      <c r="AL159" s="49"/>
      <c r="AM159" s="49"/>
      <c r="AN159" s="49"/>
      <c r="AO159" s="49"/>
      <c r="AP159" s="49"/>
      <c r="AQ159" s="49"/>
      <c r="AR159" s="49"/>
      <c r="AS159" s="49"/>
    </row>
    <row r="160" spans="1:45" x14ac:dyDescent="0.35">
      <c r="A160" s="49"/>
      <c r="B160" s="49"/>
      <c r="C160" s="49"/>
      <c r="D160" s="49"/>
      <c r="E160" s="49"/>
      <c r="F160" s="49"/>
      <c r="G160" s="49"/>
      <c r="H160" s="49"/>
      <c r="I160" s="49"/>
      <c r="J160" s="49"/>
      <c r="K160" s="49"/>
      <c r="L160" s="49"/>
      <c r="M160" s="49"/>
      <c r="N160" s="49"/>
      <c r="O160" s="49"/>
      <c r="P160" s="49"/>
      <c r="Q160" s="49"/>
      <c r="R160" s="49"/>
      <c r="S160" s="49"/>
      <c r="T160" s="49"/>
      <c r="U160" s="49"/>
      <c r="V160" s="49"/>
      <c r="W160" s="49"/>
      <c r="X160" s="49"/>
      <c r="Y160" s="49"/>
      <c r="Z160" s="49"/>
      <c r="AA160" s="49"/>
      <c r="AB160" s="49"/>
      <c r="AC160" s="49"/>
      <c r="AD160" s="49"/>
      <c r="AE160" s="49"/>
      <c r="AF160" s="49"/>
      <c r="AG160" s="49"/>
      <c r="AH160" s="49"/>
      <c r="AI160" s="49"/>
      <c r="AJ160" s="49"/>
      <c r="AK160" s="49"/>
      <c r="AL160" s="49"/>
      <c r="AM160" s="49"/>
      <c r="AN160" s="49"/>
      <c r="AO160" s="49"/>
      <c r="AP160" s="49"/>
      <c r="AQ160" s="49"/>
      <c r="AR160" s="49"/>
      <c r="AS160" s="49"/>
    </row>
    <row r="161" spans="1:45" x14ac:dyDescent="0.35">
      <c r="A161" s="49"/>
      <c r="B161" s="49"/>
      <c r="C161" s="49"/>
      <c r="D161" s="49"/>
      <c r="E161" s="49"/>
      <c r="F161" s="49"/>
      <c r="G161" s="49"/>
      <c r="H161" s="49"/>
      <c r="I161" s="49"/>
      <c r="J161" s="49"/>
      <c r="K161" s="49"/>
      <c r="L161" s="49"/>
      <c r="M161" s="49"/>
      <c r="N161" s="49"/>
      <c r="O161" s="49"/>
      <c r="P161" s="49"/>
      <c r="Q161" s="49"/>
      <c r="R161" s="49"/>
      <c r="S161" s="49"/>
      <c r="T161" s="49"/>
      <c r="U161" s="49"/>
      <c r="V161" s="49"/>
      <c r="W161" s="49"/>
      <c r="X161" s="49"/>
      <c r="Y161" s="49"/>
      <c r="Z161" s="49"/>
      <c r="AA161" s="49"/>
      <c r="AB161" s="49"/>
      <c r="AC161" s="49"/>
      <c r="AD161" s="49"/>
      <c r="AE161" s="49"/>
      <c r="AF161" s="49"/>
      <c r="AG161" s="49"/>
      <c r="AH161" s="49"/>
      <c r="AI161" s="49"/>
      <c r="AJ161" s="49"/>
      <c r="AK161" s="49"/>
      <c r="AL161" s="49"/>
      <c r="AM161" s="49"/>
      <c r="AN161" s="49"/>
      <c r="AO161" s="49"/>
      <c r="AP161" s="49"/>
      <c r="AQ161" s="49"/>
      <c r="AR161" s="49"/>
      <c r="AS161" s="49"/>
    </row>
    <row r="162" spans="1:45" x14ac:dyDescent="0.35">
      <c r="A162" s="49"/>
      <c r="B162" s="49"/>
      <c r="C162" s="49"/>
      <c r="D162" s="49"/>
      <c r="E162" s="49"/>
      <c r="F162" s="49"/>
      <c r="G162" s="49"/>
      <c r="H162" s="49"/>
      <c r="I162" s="49"/>
      <c r="J162" s="49"/>
      <c r="K162" s="49"/>
      <c r="L162" s="49"/>
      <c r="M162" s="49"/>
      <c r="N162" s="49"/>
      <c r="O162" s="49"/>
      <c r="P162" s="49"/>
      <c r="Q162" s="49"/>
      <c r="R162" s="49"/>
      <c r="S162" s="49"/>
      <c r="T162" s="49"/>
      <c r="U162" s="49"/>
      <c r="V162" s="49"/>
      <c r="W162" s="49"/>
      <c r="X162" s="49"/>
      <c r="Y162" s="49"/>
      <c r="Z162" s="49"/>
      <c r="AA162" s="49"/>
      <c r="AB162" s="49"/>
      <c r="AC162" s="49"/>
      <c r="AD162" s="49"/>
      <c r="AE162" s="49"/>
      <c r="AF162" s="49"/>
      <c r="AG162" s="49"/>
      <c r="AH162" s="49"/>
      <c r="AI162" s="49"/>
      <c r="AJ162" s="49"/>
      <c r="AK162" s="49"/>
      <c r="AL162" s="49"/>
      <c r="AM162" s="49"/>
      <c r="AN162" s="49"/>
      <c r="AO162" s="49"/>
      <c r="AP162" s="49"/>
      <c r="AQ162" s="49"/>
      <c r="AR162" s="49"/>
      <c r="AS162" s="49"/>
    </row>
    <row r="163" spans="1:45" x14ac:dyDescent="0.35">
      <c r="A163" s="49"/>
      <c r="B163" s="49"/>
      <c r="C163" s="49"/>
      <c r="D163" s="49"/>
      <c r="E163" s="49"/>
      <c r="F163" s="49"/>
      <c r="G163" s="49"/>
      <c r="H163" s="49"/>
      <c r="I163" s="49"/>
      <c r="J163" s="49"/>
      <c r="K163" s="49"/>
      <c r="L163" s="49"/>
      <c r="M163" s="49"/>
      <c r="N163" s="49"/>
      <c r="O163" s="49"/>
      <c r="P163" s="49"/>
      <c r="Q163" s="49"/>
      <c r="R163" s="49"/>
      <c r="S163" s="49"/>
      <c r="T163" s="49"/>
      <c r="U163" s="49"/>
      <c r="V163" s="49"/>
      <c r="W163" s="49"/>
      <c r="X163" s="49"/>
      <c r="Y163" s="49"/>
      <c r="Z163" s="49"/>
      <c r="AA163" s="49"/>
      <c r="AB163" s="49"/>
      <c r="AC163" s="49"/>
      <c r="AD163" s="49"/>
      <c r="AE163" s="49"/>
      <c r="AF163" s="49"/>
      <c r="AG163" s="49"/>
      <c r="AH163" s="49"/>
      <c r="AI163" s="49"/>
      <c r="AJ163" s="49"/>
      <c r="AK163" s="49"/>
      <c r="AL163" s="49"/>
      <c r="AM163" s="49"/>
      <c r="AN163" s="49"/>
      <c r="AO163" s="49"/>
      <c r="AP163" s="49"/>
      <c r="AQ163" s="49"/>
      <c r="AR163" s="49"/>
      <c r="AS163" s="49"/>
    </row>
    <row r="164" spans="1:45" x14ac:dyDescent="0.35">
      <c r="A164" s="49"/>
      <c r="B164" s="49"/>
      <c r="C164" s="49"/>
      <c r="D164" s="49"/>
      <c r="E164" s="49"/>
      <c r="F164" s="49"/>
      <c r="G164" s="49"/>
      <c r="H164" s="49"/>
      <c r="I164" s="49"/>
      <c r="J164" s="49"/>
      <c r="K164" s="49"/>
      <c r="L164" s="49"/>
      <c r="M164" s="49"/>
      <c r="N164" s="49"/>
      <c r="O164" s="49"/>
      <c r="P164" s="49"/>
      <c r="Q164" s="49"/>
      <c r="R164" s="49"/>
      <c r="S164" s="49"/>
      <c r="T164" s="49"/>
      <c r="U164" s="49"/>
      <c r="V164" s="49"/>
      <c r="W164" s="49"/>
      <c r="X164" s="49"/>
      <c r="Y164" s="49"/>
      <c r="Z164" s="49"/>
      <c r="AA164" s="49"/>
      <c r="AB164" s="49"/>
      <c r="AC164" s="49"/>
      <c r="AD164" s="49"/>
      <c r="AE164" s="49"/>
      <c r="AF164" s="49"/>
      <c r="AG164" s="49"/>
      <c r="AH164" s="49"/>
      <c r="AI164" s="49"/>
      <c r="AJ164" s="49"/>
      <c r="AK164" s="49"/>
      <c r="AL164" s="49"/>
      <c r="AM164" s="49"/>
      <c r="AN164" s="49"/>
      <c r="AO164" s="49"/>
      <c r="AP164" s="49"/>
      <c r="AQ164" s="49"/>
      <c r="AR164" s="49"/>
      <c r="AS164" s="49"/>
    </row>
    <row r="165" spans="1:45" x14ac:dyDescent="0.35">
      <c r="A165" s="49"/>
      <c r="B165" s="49"/>
      <c r="C165" s="49"/>
      <c r="D165" s="49"/>
      <c r="E165" s="49"/>
      <c r="F165" s="49"/>
      <c r="G165" s="49"/>
      <c r="H165" s="49"/>
      <c r="I165" s="49"/>
      <c r="J165" s="49"/>
      <c r="K165" s="49"/>
      <c r="L165" s="49"/>
      <c r="M165" s="49"/>
      <c r="N165" s="49"/>
      <c r="O165" s="49"/>
      <c r="P165" s="49"/>
      <c r="Q165" s="49"/>
      <c r="R165" s="49"/>
      <c r="S165" s="49"/>
      <c r="T165" s="49"/>
      <c r="U165" s="49"/>
      <c r="V165" s="49"/>
      <c r="W165" s="49"/>
      <c r="X165" s="49"/>
      <c r="Y165" s="49"/>
      <c r="Z165" s="49"/>
      <c r="AA165" s="49"/>
      <c r="AB165" s="49"/>
      <c r="AC165" s="49"/>
      <c r="AD165" s="49"/>
      <c r="AE165" s="49"/>
      <c r="AF165" s="49"/>
      <c r="AG165" s="49"/>
      <c r="AH165" s="49"/>
      <c r="AI165" s="49"/>
      <c r="AJ165" s="49"/>
      <c r="AK165" s="49"/>
      <c r="AL165" s="49"/>
      <c r="AM165" s="49"/>
      <c r="AN165" s="49"/>
      <c r="AO165" s="49"/>
      <c r="AP165" s="49"/>
      <c r="AQ165" s="49"/>
      <c r="AR165" s="49"/>
      <c r="AS165" s="49"/>
    </row>
    <row r="166" spans="1:45" x14ac:dyDescent="0.35">
      <c r="A166" s="49"/>
      <c r="B166" s="49"/>
      <c r="C166" s="49"/>
      <c r="D166" s="49"/>
      <c r="E166" s="49"/>
      <c r="F166" s="49"/>
      <c r="G166" s="49"/>
      <c r="H166" s="49"/>
      <c r="I166" s="49"/>
      <c r="J166" s="49"/>
      <c r="K166" s="49"/>
      <c r="L166" s="49"/>
      <c r="M166" s="49"/>
      <c r="N166" s="49"/>
      <c r="O166" s="49"/>
      <c r="P166" s="49"/>
      <c r="Q166" s="49"/>
      <c r="R166" s="49"/>
      <c r="S166" s="49"/>
      <c r="T166" s="49"/>
      <c r="U166" s="49"/>
      <c r="V166" s="49"/>
      <c r="W166" s="49"/>
      <c r="X166" s="49"/>
      <c r="Y166" s="49"/>
      <c r="Z166" s="49"/>
      <c r="AA166" s="49"/>
      <c r="AB166" s="49"/>
      <c r="AC166" s="49"/>
      <c r="AD166" s="49"/>
      <c r="AE166" s="49"/>
      <c r="AF166" s="49"/>
      <c r="AG166" s="49"/>
      <c r="AH166" s="49"/>
      <c r="AI166" s="49"/>
      <c r="AJ166" s="49"/>
      <c r="AK166" s="49"/>
      <c r="AL166" s="49"/>
      <c r="AM166" s="49"/>
      <c r="AN166" s="49"/>
      <c r="AO166" s="49"/>
      <c r="AP166" s="49"/>
      <c r="AQ166" s="49"/>
      <c r="AR166" s="49"/>
      <c r="AS166" s="49"/>
    </row>
    <row r="167" spans="1:45" x14ac:dyDescent="0.35">
      <c r="A167" s="49"/>
      <c r="B167" s="49"/>
      <c r="C167" s="49"/>
      <c r="D167" s="49"/>
      <c r="E167" s="49"/>
      <c r="F167" s="49"/>
      <c r="G167" s="49"/>
      <c r="H167" s="49"/>
      <c r="I167" s="49"/>
      <c r="J167" s="49"/>
      <c r="K167" s="49"/>
      <c r="L167" s="49"/>
      <c r="M167" s="49"/>
      <c r="N167" s="49"/>
      <c r="O167" s="49"/>
      <c r="P167" s="49"/>
      <c r="Q167" s="49"/>
      <c r="R167" s="49"/>
      <c r="S167" s="49"/>
      <c r="T167" s="49"/>
      <c r="U167" s="49"/>
      <c r="V167" s="49"/>
      <c r="W167" s="49"/>
      <c r="X167" s="49"/>
      <c r="Y167" s="49"/>
      <c r="Z167" s="49"/>
      <c r="AA167" s="49"/>
      <c r="AB167" s="49"/>
      <c r="AC167" s="49"/>
      <c r="AD167" s="49"/>
      <c r="AE167" s="49"/>
      <c r="AF167" s="49"/>
      <c r="AG167" s="49"/>
      <c r="AH167" s="49"/>
      <c r="AI167" s="49"/>
      <c r="AJ167" s="49"/>
      <c r="AK167" s="49"/>
      <c r="AL167" s="49"/>
      <c r="AM167" s="49"/>
      <c r="AN167" s="49"/>
      <c r="AO167" s="49"/>
      <c r="AP167" s="49"/>
      <c r="AQ167" s="49"/>
      <c r="AR167" s="49"/>
      <c r="AS167" s="49"/>
    </row>
    <row r="168" spans="1:45" x14ac:dyDescent="0.35">
      <c r="A168" s="49"/>
      <c r="B168" s="49"/>
      <c r="C168" s="49"/>
      <c r="D168" s="49"/>
      <c r="E168" s="49"/>
      <c r="F168" s="49"/>
      <c r="G168" s="49"/>
      <c r="H168" s="49"/>
      <c r="I168" s="49"/>
      <c r="J168" s="49"/>
      <c r="K168" s="49"/>
      <c r="L168" s="49"/>
      <c r="M168" s="49"/>
      <c r="N168" s="49"/>
      <c r="O168" s="49"/>
      <c r="P168" s="49"/>
      <c r="Q168" s="49"/>
      <c r="R168" s="49"/>
      <c r="S168" s="49"/>
      <c r="T168" s="49"/>
      <c r="U168" s="49"/>
      <c r="V168" s="49"/>
      <c r="W168" s="49"/>
      <c r="X168" s="49"/>
      <c r="Y168" s="49"/>
      <c r="Z168" s="49"/>
      <c r="AA168" s="49"/>
      <c r="AB168" s="49"/>
      <c r="AC168" s="49"/>
      <c r="AD168" s="49"/>
      <c r="AE168" s="49"/>
      <c r="AF168" s="49"/>
      <c r="AG168" s="49"/>
      <c r="AH168" s="49"/>
      <c r="AI168" s="49"/>
      <c r="AJ168" s="49"/>
      <c r="AK168" s="49"/>
      <c r="AL168" s="49"/>
      <c r="AM168" s="49"/>
      <c r="AN168" s="49"/>
      <c r="AO168" s="49"/>
      <c r="AP168" s="49"/>
      <c r="AQ168" s="49"/>
      <c r="AR168" s="49"/>
      <c r="AS168" s="49"/>
    </row>
    <row r="169" spans="1:45" x14ac:dyDescent="0.35">
      <c r="A169" s="49"/>
      <c r="B169" s="49"/>
      <c r="C169" s="49"/>
      <c r="D169" s="49"/>
      <c r="E169" s="49"/>
      <c r="F169" s="49"/>
      <c r="G169" s="49"/>
      <c r="H169" s="49"/>
      <c r="I169" s="49"/>
      <c r="J169" s="49"/>
      <c r="K169" s="49"/>
      <c r="L169" s="49"/>
      <c r="M169" s="49"/>
      <c r="N169" s="49"/>
      <c r="O169" s="49"/>
      <c r="P169" s="49"/>
      <c r="Q169" s="49"/>
      <c r="R169" s="49"/>
      <c r="S169" s="49"/>
      <c r="T169" s="49"/>
      <c r="U169" s="49"/>
      <c r="V169" s="49"/>
      <c r="W169" s="49"/>
      <c r="X169" s="49"/>
      <c r="Y169" s="49"/>
      <c r="Z169" s="49"/>
      <c r="AA169" s="49"/>
      <c r="AB169" s="49"/>
      <c r="AC169" s="49"/>
      <c r="AD169" s="49"/>
      <c r="AE169" s="49"/>
      <c r="AF169" s="49"/>
      <c r="AG169" s="49"/>
      <c r="AH169" s="49"/>
      <c r="AI169" s="49"/>
      <c r="AJ169" s="49"/>
      <c r="AK169" s="49"/>
      <c r="AL169" s="49"/>
      <c r="AM169" s="49"/>
      <c r="AN169" s="49"/>
      <c r="AO169" s="49"/>
      <c r="AP169" s="49"/>
      <c r="AQ169" s="49"/>
      <c r="AR169" s="49"/>
      <c r="AS169" s="49"/>
    </row>
    <row r="170" spans="1:45" x14ac:dyDescent="0.35">
      <c r="A170" s="49"/>
      <c r="B170" s="49"/>
      <c r="C170" s="49"/>
      <c r="D170" s="49"/>
      <c r="E170" s="49"/>
      <c r="F170" s="49"/>
      <c r="G170" s="49"/>
      <c r="H170" s="49"/>
      <c r="I170" s="49"/>
      <c r="J170" s="49"/>
      <c r="K170" s="49"/>
      <c r="L170" s="49"/>
      <c r="M170" s="49"/>
      <c r="N170" s="49"/>
      <c r="O170" s="49"/>
      <c r="P170" s="49"/>
      <c r="Q170" s="49"/>
      <c r="R170" s="49"/>
      <c r="S170" s="49"/>
      <c r="T170" s="49"/>
      <c r="U170" s="49"/>
      <c r="V170" s="49"/>
      <c r="W170" s="49"/>
      <c r="X170" s="49"/>
      <c r="Y170" s="49"/>
      <c r="Z170" s="49"/>
      <c r="AA170" s="49"/>
      <c r="AB170" s="49"/>
      <c r="AC170" s="49"/>
      <c r="AD170" s="49"/>
      <c r="AE170" s="49"/>
      <c r="AF170" s="49"/>
      <c r="AG170" s="49"/>
      <c r="AH170" s="49"/>
      <c r="AI170" s="49"/>
      <c r="AJ170" s="49"/>
      <c r="AK170" s="49"/>
      <c r="AL170" s="49"/>
      <c r="AM170" s="49"/>
      <c r="AN170" s="49"/>
      <c r="AO170" s="49"/>
      <c r="AP170" s="49"/>
      <c r="AQ170" s="49"/>
      <c r="AR170" s="49"/>
      <c r="AS170" s="49"/>
    </row>
    <row r="171" spans="1:45" x14ac:dyDescent="0.35">
      <c r="A171" s="49"/>
      <c r="B171" s="49"/>
      <c r="C171" s="49"/>
      <c r="D171" s="49"/>
      <c r="E171" s="49"/>
      <c r="F171" s="49"/>
      <c r="G171" s="49"/>
      <c r="H171" s="49"/>
      <c r="I171" s="49"/>
      <c r="J171" s="49"/>
      <c r="K171" s="49"/>
      <c r="L171" s="49"/>
      <c r="M171" s="49"/>
      <c r="N171" s="49"/>
      <c r="O171" s="49"/>
      <c r="P171" s="49"/>
      <c r="Q171" s="49"/>
      <c r="R171" s="49"/>
      <c r="S171" s="49"/>
      <c r="T171" s="49"/>
      <c r="U171" s="49"/>
      <c r="V171" s="49"/>
      <c r="W171" s="49"/>
      <c r="X171" s="49"/>
      <c r="Y171" s="49"/>
      <c r="Z171" s="49"/>
      <c r="AA171" s="49"/>
      <c r="AB171" s="49"/>
      <c r="AC171" s="49"/>
      <c r="AD171" s="49"/>
      <c r="AE171" s="49"/>
      <c r="AF171" s="49"/>
      <c r="AG171" s="49"/>
      <c r="AH171" s="49"/>
      <c r="AI171" s="49"/>
      <c r="AJ171" s="49"/>
      <c r="AK171" s="49"/>
      <c r="AL171" s="49"/>
      <c r="AM171" s="49"/>
      <c r="AN171" s="49"/>
      <c r="AO171" s="49"/>
      <c r="AP171" s="49"/>
      <c r="AQ171" s="49"/>
      <c r="AR171" s="49"/>
      <c r="AS171" s="49"/>
    </row>
    <row r="172" spans="1:45" x14ac:dyDescent="0.35">
      <c r="A172" s="49"/>
      <c r="B172" s="49"/>
      <c r="C172" s="49"/>
      <c r="D172" s="49"/>
      <c r="E172" s="49"/>
      <c r="F172" s="49"/>
      <c r="G172" s="49"/>
      <c r="H172" s="49"/>
      <c r="I172" s="49"/>
      <c r="J172" s="49"/>
      <c r="K172" s="49"/>
      <c r="L172" s="49"/>
      <c r="M172" s="49"/>
      <c r="N172" s="49"/>
      <c r="O172" s="49"/>
      <c r="P172" s="49"/>
      <c r="Q172" s="49"/>
      <c r="R172" s="49"/>
      <c r="S172" s="49"/>
      <c r="T172" s="49"/>
      <c r="U172" s="49"/>
      <c r="V172" s="49"/>
      <c r="W172" s="49"/>
      <c r="X172" s="49"/>
      <c r="Y172" s="49"/>
      <c r="Z172" s="49"/>
      <c r="AA172" s="49"/>
      <c r="AB172" s="49"/>
      <c r="AC172" s="49"/>
      <c r="AD172" s="49"/>
      <c r="AE172" s="49"/>
      <c r="AF172" s="49"/>
      <c r="AG172" s="49"/>
      <c r="AH172" s="49"/>
      <c r="AI172" s="49"/>
      <c r="AJ172" s="49"/>
      <c r="AK172" s="49"/>
      <c r="AL172" s="49"/>
      <c r="AM172" s="49"/>
      <c r="AN172" s="49"/>
      <c r="AO172" s="49"/>
      <c r="AP172" s="49"/>
      <c r="AQ172" s="49"/>
      <c r="AR172" s="49"/>
      <c r="AS172" s="49"/>
    </row>
    <row r="173" spans="1:45" x14ac:dyDescent="0.35">
      <c r="A173" s="49"/>
      <c r="B173" s="49"/>
      <c r="C173" s="49"/>
      <c r="D173" s="49"/>
      <c r="E173" s="49"/>
      <c r="F173" s="49"/>
      <c r="G173" s="49"/>
      <c r="H173" s="49"/>
      <c r="I173" s="49"/>
      <c r="J173" s="49"/>
      <c r="K173" s="49"/>
      <c r="L173" s="49"/>
      <c r="M173" s="49"/>
      <c r="N173" s="49"/>
      <c r="O173" s="49"/>
      <c r="P173" s="49"/>
      <c r="Q173" s="49"/>
      <c r="R173" s="49"/>
      <c r="S173" s="49"/>
      <c r="T173" s="49"/>
      <c r="U173" s="49"/>
      <c r="V173" s="49"/>
      <c r="W173" s="49"/>
      <c r="X173" s="49"/>
      <c r="Y173" s="49"/>
      <c r="Z173" s="49"/>
      <c r="AA173" s="49"/>
      <c r="AB173" s="49"/>
      <c r="AC173" s="49"/>
      <c r="AD173" s="49"/>
      <c r="AE173" s="49"/>
      <c r="AF173" s="49"/>
      <c r="AG173" s="49"/>
      <c r="AH173" s="49"/>
      <c r="AI173" s="49"/>
      <c r="AJ173" s="49"/>
      <c r="AK173" s="49"/>
      <c r="AL173" s="49"/>
      <c r="AM173" s="49"/>
      <c r="AN173" s="49"/>
      <c r="AO173" s="49"/>
      <c r="AP173" s="49"/>
      <c r="AQ173" s="49"/>
      <c r="AR173" s="49"/>
      <c r="AS173" s="49"/>
    </row>
    <row r="174" spans="1:45" x14ac:dyDescent="0.35">
      <c r="A174" s="49"/>
      <c r="B174" s="49"/>
      <c r="C174" s="49"/>
      <c r="D174" s="49"/>
      <c r="E174" s="49"/>
      <c r="F174" s="49"/>
      <c r="G174" s="49"/>
      <c r="H174" s="49"/>
      <c r="I174" s="49"/>
      <c r="J174" s="49"/>
      <c r="K174" s="49"/>
      <c r="L174" s="49"/>
      <c r="M174" s="49"/>
      <c r="N174" s="49"/>
      <c r="O174" s="49"/>
      <c r="P174" s="49"/>
      <c r="Q174" s="49"/>
      <c r="R174" s="49"/>
      <c r="S174" s="49"/>
      <c r="T174" s="49"/>
      <c r="U174" s="49"/>
      <c r="V174" s="49"/>
      <c r="W174" s="49"/>
      <c r="X174" s="49"/>
      <c r="Y174" s="49"/>
      <c r="Z174" s="49"/>
      <c r="AA174" s="49"/>
      <c r="AB174" s="49"/>
      <c r="AC174" s="49"/>
      <c r="AD174" s="49"/>
      <c r="AE174" s="49"/>
      <c r="AF174" s="49"/>
      <c r="AG174" s="49"/>
      <c r="AH174" s="49"/>
      <c r="AI174" s="49"/>
      <c r="AJ174" s="49"/>
      <c r="AK174" s="49"/>
      <c r="AL174" s="49"/>
      <c r="AM174" s="49"/>
      <c r="AN174" s="49"/>
      <c r="AO174" s="49"/>
      <c r="AP174" s="49"/>
      <c r="AQ174" s="49"/>
      <c r="AR174" s="49"/>
      <c r="AS174" s="49"/>
    </row>
    <row r="175" spans="1:45" x14ac:dyDescent="0.35">
      <c r="A175" s="49"/>
      <c r="B175" s="49"/>
      <c r="C175" s="49"/>
      <c r="D175" s="49"/>
      <c r="E175" s="49"/>
      <c r="F175" s="49"/>
      <c r="G175" s="49"/>
      <c r="H175" s="49"/>
      <c r="I175" s="49"/>
      <c r="J175" s="49"/>
      <c r="K175" s="49"/>
      <c r="L175" s="49"/>
      <c r="M175" s="49"/>
      <c r="N175" s="49"/>
      <c r="O175" s="49"/>
      <c r="P175" s="49"/>
      <c r="Q175" s="49"/>
      <c r="R175" s="49"/>
      <c r="S175" s="49"/>
      <c r="T175" s="49"/>
      <c r="U175" s="49"/>
      <c r="V175" s="49"/>
      <c r="W175" s="49"/>
      <c r="X175" s="49"/>
      <c r="Y175" s="49"/>
      <c r="Z175" s="49"/>
      <c r="AA175" s="49"/>
      <c r="AB175" s="49"/>
      <c r="AC175" s="49"/>
      <c r="AD175" s="49"/>
      <c r="AE175" s="49"/>
      <c r="AF175" s="49"/>
      <c r="AG175" s="49"/>
      <c r="AH175" s="49"/>
      <c r="AI175" s="49"/>
      <c r="AJ175" s="49"/>
      <c r="AK175" s="49"/>
      <c r="AL175" s="49"/>
      <c r="AM175" s="49"/>
      <c r="AN175" s="49"/>
      <c r="AO175" s="49"/>
      <c r="AP175" s="49"/>
      <c r="AQ175" s="49"/>
      <c r="AR175" s="49"/>
      <c r="AS175" s="49"/>
    </row>
    <row r="176" spans="1:45" x14ac:dyDescent="0.35">
      <c r="A176" s="49"/>
      <c r="B176" s="49"/>
      <c r="C176" s="49"/>
      <c r="D176" s="49"/>
      <c r="E176" s="49"/>
      <c r="F176" s="49"/>
      <c r="G176" s="49"/>
      <c r="H176" s="49"/>
      <c r="I176" s="49"/>
      <c r="J176" s="49"/>
      <c r="K176" s="49"/>
      <c r="L176" s="49"/>
      <c r="M176" s="49"/>
      <c r="N176" s="49"/>
      <c r="O176" s="49"/>
      <c r="P176" s="49"/>
      <c r="Q176" s="49"/>
      <c r="R176" s="49"/>
      <c r="S176" s="49"/>
      <c r="T176" s="49"/>
      <c r="U176" s="49"/>
      <c r="V176" s="49"/>
      <c r="W176" s="49"/>
      <c r="X176" s="49"/>
      <c r="Y176" s="49"/>
      <c r="Z176" s="49"/>
      <c r="AA176" s="49"/>
      <c r="AB176" s="49"/>
      <c r="AC176" s="49"/>
      <c r="AD176" s="49"/>
      <c r="AE176" s="49"/>
      <c r="AF176" s="49"/>
      <c r="AG176" s="49"/>
      <c r="AH176" s="49"/>
      <c r="AI176" s="49"/>
      <c r="AJ176" s="49"/>
      <c r="AK176" s="49"/>
      <c r="AL176" s="49"/>
      <c r="AM176" s="49"/>
      <c r="AN176" s="49"/>
      <c r="AO176" s="49"/>
      <c r="AP176" s="49"/>
      <c r="AQ176" s="49"/>
      <c r="AR176" s="49"/>
      <c r="AS176" s="49"/>
    </row>
    <row r="177" spans="1:45" x14ac:dyDescent="0.35">
      <c r="A177" s="49"/>
      <c r="B177" s="49"/>
      <c r="C177" s="49"/>
      <c r="D177" s="49"/>
      <c r="E177" s="49"/>
      <c r="F177" s="49"/>
      <c r="G177" s="49"/>
      <c r="H177" s="49"/>
      <c r="I177" s="49"/>
      <c r="J177" s="49"/>
      <c r="K177" s="49"/>
      <c r="L177" s="49"/>
      <c r="M177" s="49"/>
      <c r="N177" s="49"/>
      <c r="O177" s="49"/>
      <c r="P177" s="49"/>
      <c r="Q177" s="49"/>
      <c r="R177" s="49"/>
      <c r="S177" s="49"/>
      <c r="T177" s="49"/>
      <c r="U177" s="49"/>
      <c r="V177" s="49"/>
      <c r="W177" s="49"/>
      <c r="X177" s="49"/>
      <c r="Y177" s="49"/>
      <c r="Z177" s="49"/>
      <c r="AA177" s="49"/>
      <c r="AB177" s="49"/>
      <c r="AC177" s="49"/>
      <c r="AD177" s="49"/>
      <c r="AE177" s="49"/>
      <c r="AF177" s="49"/>
      <c r="AG177" s="49"/>
      <c r="AH177" s="49"/>
      <c r="AI177" s="49"/>
      <c r="AJ177" s="49"/>
      <c r="AK177" s="49"/>
      <c r="AL177" s="49"/>
      <c r="AM177" s="49"/>
      <c r="AN177" s="49"/>
      <c r="AO177" s="49"/>
      <c r="AP177" s="49"/>
      <c r="AQ177" s="49"/>
      <c r="AR177" s="49"/>
      <c r="AS177" s="49"/>
    </row>
    <row r="178" spans="1:45" x14ac:dyDescent="0.35">
      <c r="A178" s="49"/>
      <c r="B178" s="49"/>
      <c r="C178" s="49"/>
      <c r="D178" s="49"/>
      <c r="E178" s="49"/>
      <c r="F178" s="49"/>
      <c r="G178" s="49"/>
      <c r="H178" s="49"/>
      <c r="I178" s="49"/>
      <c r="J178" s="49"/>
      <c r="K178" s="49"/>
      <c r="L178" s="49"/>
      <c r="M178" s="49"/>
      <c r="N178" s="49"/>
      <c r="O178" s="49"/>
      <c r="P178" s="49"/>
      <c r="Q178" s="49"/>
      <c r="R178" s="49"/>
      <c r="S178" s="49"/>
      <c r="T178" s="49"/>
      <c r="U178" s="49"/>
      <c r="V178" s="49"/>
      <c r="W178" s="49"/>
      <c r="X178" s="49"/>
      <c r="Y178" s="49"/>
      <c r="Z178" s="49"/>
      <c r="AA178" s="49"/>
      <c r="AB178" s="49"/>
      <c r="AC178" s="49"/>
      <c r="AD178" s="49"/>
      <c r="AE178" s="49"/>
      <c r="AF178" s="49"/>
      <c r="AG178" s="49"/>
      <c r="AH178" s="49"/>
      <c r="AI178" s="49"/>
      <c r="AJ178" s="49"/>
      <c r="AK178" s="49"/>
      <c r="AL178" s="49"/>
      <c r="AM178" s="49"/>
      <c r="AN178" s="49"/>
      <c r="AO178" s="49"/>
      <c r="AP178" s="49"/>
      <c r="AQ178" s="49"/>
      <c r="AR178" s="49"/>
      <c r="AS178" s="49"/>
    </row>
    <row r="179" spans="1:45" x14ac:dyDescent="0.35">
      <c r="A179" s="49"/>
      <c r="B179" s="49"/>
      <c r="C179" s="49"/>
      <c r="D179" s="49"/>
      <c r="E179" s="49"/>
      <c r="F179" s="49"/>
      <c r="G179" s="49"/>
      <c r="H179" s="49"/>
      <c r="I179" s="49"/>
      <c r="J179" s="49"/>
      <c r="K179" s="49"/>
      <c r="L179" s="49"/>
      <c r="M179" s="49"/>
      <c r="N179" s="49"/>
      <c r="O179" s="49"/>
      <c r="P179" s="49"/>
      <c r="Q179" s="49"/>
      <c r="R179" s="49"/>
      <c r="S179" s="49"/>
      <c r="T179" s="49"/>
      <c r="U179" s="49"/>
      <c r="V179" s="49"/>
      <c r="W179" s="49"/>
      <c r="X179" s="49"/>
      <c r="Y179" s="49"/>
      <c r="Z179" s="49"/>
      <c r="AA179" s="49"/>
      <c r="AB179" s="49"/>
      <c r="AC179" s="49"/>
      <c r="AD179" s="49"/>
      <c r="AE179" s="49"/>
      <c r="AF179" s="49"/>
      <c r="AG179" s="49"/>
      <c r="AH179" s="49"/>
      <c r="AI179" s="49"/>
      <c r="AJ179" s="49"/>
      <c r="AK179" s="49"/>
      <c r="AL179" s="49"/>
      <c r="AM179" s="49"/>
      <c r="AN179" s="49"/>
      <c r="AO179" s="49"/>
      <c r="AP179" s="49"/>
      <c r="AQ179" s="49"/>
      <c r="AR179" s="49"/>
      <c r="AS179" s="49"/>
    </row>
    <row r="180" spans="1:45" x14ac:dyDescent="0.35">
      <c r="A180" s="49"/>
      <c r="B180" s="49"/>
      <c r="C180" s="49"/>
      <c r="D180" s="49"/>
      <c r="E180" s="49"/>
      <c r="F180" s="49"/>
      <c r="G180" s="49"/>
      <c r="H180" s="49"/>
      <c r="I180" s="49"/>
      <c r="J180" s="49"/>
      <c r="K180" s="49"/>
      <c r="L180" s="49"/>
      <c r="M180" s="49"/>
      <c r="N180" s="49"/>
      <c r="O180" s="49"/>
      <c r="P180" s="49"/>
      <c r="Q180" s="49"/>
      <c r="R180" s="49"/>
      <c r="S180" s="49"/>
      <c r="T180" s="49"/>
      <c r="U180" s="49"/>
      <c r="V180" s="49"/>
      <c r="W180" s="49"/>
      <c r="X180" s="49"/>
      <c r="Y180" s="49"/>
      <c r="Z180" s="49"/>
      <c r="AA180" s="49"/>
      <c r="AB180" s="49"/>
      <c r="AC180" s="49"/>
      <c r="AD180" s="49"/>
      <c r="AE180" s="49"/>
      <c r="AF180" s="49"/>
      <c r="AG180" s="49"/>
      <c r="AH180" s="49"/>
      <c r="AI180" s="49"/>
      <c r="AJ180" s="49"/>
      <c r="AK180" s="49"/>
      <c r="AL180" s="49"/>
      <c r="AM180" s="49"/>
      <c r="AN180" s="49"/>
      <c r="AO180" s="49"/>
      <c r="AP180" s="49"/>
      <c r="AQ180" s="49"/>
      <c r="AR180" s="49"/>
      <c r="AS180" s="49"/>
    </row>
    <row r="181" spans="1:45" x14ac:dyDescent="0.35">
      <c r="A181" s="49"/>
      <c r="B181" s="49"/>
      <c r="C181" s="49"/>
      <c r="D181" s="49"/>
      <c r="E181" s="49"/>
      <c r="F181" s="49"/>
      <c r="G181" s="49"/>
      <c r="H181" s="49"/>
      <c r="I181" s="49"/>
      <c r="J181" s="49"/>
      <c r="K181" s="49"/>
      <c r="L181" s="49"/>
      <c r="M181" s="49"/>
      <c r="N181" s="49"/>
      <c r="O181" s="49"/>
      <c r="P181" s="49"/>
      <c r="Q181" s="49"/>
      <c r="R181" s="49"/>
      <c r="S181" s="49"/>
      <c r="T181" s="49"/>
      <c r="U181" s="49"/>
      <c r="V181" s="49"/>
      <c r="W181" s="49"/>
      <c r="X181" s="49"/>
      <c r="Y181" s="49"/>
      <c r="Z181" s="49"/>
      <c r="AA181" s="49"/>
      <c r="AB181" s="49"/>
      <c r="AC181" s="49"/>
      <c r="AD181" s="49"/>
      <c r="AE181" s="49"/>
      <c r="AF181" s="49"/>
      <c r="AG181" s="49"/>
      <c r="AH181" s="49"/>
      <c r="AI181" s="49"/>
      <c r="AJ181" s="49"/>
      <c r="AK181" s="49"/>
      <c r="AL181" s="49"/>
      <c r="AM181" s="49"/>
      <c r="AN181" s="49"/>
      <c r="AO181" s="49"/>
      <c r="AP181" s="49"/>
      <c r="AQ181" s="49"/>
      <c r="AR181" s="49"/>
      <c r="AS181" s="49"/>
    </row>
    <row r="182" spans="1:45" x14ac:dyDescent="0.35">
      <c r="A182" s="49"/>
      <c r="B182" s="49"/>
      <c r="C182" s="49"/>
      <c r="D182" s="49"/>
      <c r="E182" s="49"/>
      <c r="F182" s="49"/>
      <c r="G182" s="49"/>
      <c r="H182" s="49"/>
      <c r="I182" s="49"/>
      <c r="J182" s="49"/>
      <c r="K182" s="49"/>
      <c r="L182" s="49"/>
      <c r="M182" s="49"/>
      <c r="N182" s="49"/>
      <c r="O182" s="49"/>
      <c r="P182" s="49"/>
      <c r="Q182" s="49"/>
      <c r="R182" s="49"/>
      <c r="S182" s="49"/>
      <c r="T182" s="49"/>
      <c r="U182" s="49"/>
      <c r="V182" s="49"/>
      <c r="W182" s="49"/>
      <c r="X182" s="49"/>
      <c r="Y182" s="49"/>
      <c r="Z182" s="49"/>
      <c r="AA182" s="49"/>
      <c r="AB182" s="49"/>
      <c r="AC182" s="49"/>
      <c r="AD182" s="49"/>
      <c r="AE182" s="49"/>
      <c r="AF182" s="49"/>
      <c r="AG182" s="49"/>
      <c r="AH182" s="49"/>
      <c r="AI182" s="49"/>
      <c r="AJ182" s="49"/>
      <c r="AK182" s="49"/>
      <c r="AL182" s="49"/>
      <c r="AM182" s="49"/>
      <c r="AN182" s="49"/>
      <c r="AO182" s="49"/>
      <c r="AP182" s="49"/>
      <c r="AQ182" s="49"/>
      <c r="AR182" s="49"/>
      <c r="AS182" s="49"/>
    </row>
    <row r="183" spans="1:45" x14ac:dyDescent="0.35">
      <c r="A183" s="49"/>
      <c r="B183" s="49"/>
      <c r="C183" s="49"/>
      <c r="D183" s="49"/>
      <c r="E183" s="49"/>
      <c r="F183" s="49"/>
      <c r="G183" s="49"/>
      <c r="H183" s="49"/>
      <c r="I183" s="49"/>
      <c r="J183" s="49"/>
      <c r="K183" s="49"/>
      <c r="L183" s="49"/>
      <c r="M183" s="49"/>
      <c r="N183" s="49"/>
      <c r="O183" s="49"/>
      <c r="P183" s="49"/>
      <c r="Q183" s="49"/>
      <c r="R183" s="49"/>
      <c r="S183" s="49"/>
      <c r="T183" s="49"/>
      <c r="U183" s="49"/>
      <c r="V183" s="49"/>
      <c r="W183" s="49"/>
      <c r="X183" s="49"/>
      <c r="Y183" s="49"/>
      <c r="Z183" s="49"/>
      <c r="AA183" s="49"/>
      <c r="AB183" s="49"/>
      <c r="AC183" s="49"/>
      <c r="AD183" s="49"/>
      <c r="AE183" s="49"/>
      <c r="AF183" s="49"/>
      <c r="AG183" s="49"/>
      <c r="AH183" s="49"/>
      <c r="AI183" s="49"/>
      <c r="AJ183" s="49"/>
      <c r="AK183" s="49"/>
      <c r="AL183" s="49"/>
      <c r="AM183" s="49"/>
      <c r="AN183" s="49"/>
      <c r="AO183" s="49"/>
      <c r="AP183" s="49"/>
      <c r="AQ183" s="49"/>
      <c r="AR183" s="49"/>
      <c r="AS183" s="49"/>
    </row>
    <row r="184" spans="1:45" x14ac:dyDescent="0.35">
      <c r="A184" s="49"/>
      <c r="B184" s="49"/>
      <c r="C184" s="49"/>
      <c r="D184" s="49"/>
      <c r="E184" s="49"/>
      <c r="F184" s="49"/>
      <c r="G184" s="49"/>
      <c r="H184" s="49"/>
      <c r="I184" s="49"/>
      <c r="J184" s="49"/>
      <c r="K184" s="49"/>
      <c r="L184" s="49"/>
      <c r="M184" s="49"/>
      <c r="N184" s="49"/>
      <c r="O184" s="49"/>
      <c r="P184" s="49"/>
      <c r="Q184" s="49"/>
      <c r="R184" s="49"/>
      <c r="S184" s="49"/>
      <c r="T184" s="49"/>
      <c r="U184" s="49"/>
      <c r="V184" s="49"/>
      <c r="W184" s="49"/>
      <c r="X184" s="49"/>
      <c r="Y184" s="49"/>
      <c r="Z184" s="49"/>
      <c r="AA184" s="49"/>
      <c r="AB184" s="49"/>
      <c r="AC184" s="49"/>
      <c r="AD184" s="49"/>
      <c r="AE184" s="49"/>
      <c r="AF184" s="49"/>
      <c r="AG184" s="49"/>
      <c r="AH184" s="49"/>
      <c r="AI184" s="49"/>
      <c r="AJ184" s="49"/>
      <c r="AK184" s="49"/>
      <c r="AL184" s="49"/>
      <c r="AM184" s="49"/>
      <c r="AN184" s="49"/>
      <c r="AO184" s="49"/>
      <c r="AP184" s="49"/>
      <c r="AQ184" s="49"/>
      <c r="AR184" s="49"/>
      <c r="AS184" s="49"/>
    </row>
    <row r="185" spans="1:45" x14ac:dyDescent="0.35">
      <c r="A185" s="49"/>
      <c r="B185" s="49"/>
      <c r="C185" s="49"/>
      <c r="D185" s="49"/>
      <c r="E185" s="49"/>
      <c r="F185" s="49"/>
      <c r="G185" s="49"/>
      <c r="H185" s="49"/>
      <c r="I185" s="49"/>
      <c r="J185" s="49"/>
      <c r="K185" s="49"/>
      <c r="L185" s="49"/>
      <c r="M185" s="49"/>
      <c r="N185" s="49"/>
      <c r="O185" s="49"/>
      <c r="P185" s="49"/>
      <c r="Q185" s="49"/>
      <c r="R185" s="49"/>
      <c r="S185" s="49"/>
      <c r="T185" s="49"/>
      <c r="U185" s="49"/>
      <c r="V185" s="49"/>
      <c r="W185" s="49"/>
      <c r="X185" s="49"/>
      <c r="Y185" s="49"/>
      <c r="Z185" s="49"/>
      <c r="AA185" s="49"/>
      <c r="AB185" s="49"/>
      <c r="AC185" s="49"/>
      <c r="AD185" s="49"/>
      <c r="AE185" s="49"/>
      <c r="AF185" s="49"/>
      <c r="AG185" s="49"/>
      <c r="AH185" s="49"/>
      <c r="AI185" s="49"/>
      <c r="AJ185" s="49"/>
      <c r="AK185" s="49"/>
      <c r="AL185" s="49"/>
      <c r="AM185" s="49"/>
      <c r="AN185" s="49"/>
      <c r="AO185" s="49"/>
      <c r="AP185" s="49"/>
      <c r="AQ185" s="49"/>
      <c r="AR185" s="49"/>
      <c r="AS185" s="49"/>
    </row>
    <row r="186" spans="1:45" x14ac:dyDescent="0.35">
      <c r="A186" s="49"/>
      <c r="B186" s="49"/>
      <c r="C186" s="49"/>
      <c r="D186" s="49"/>
      <c r="E186" s="49"/>
      <c r="F186" s="49"/>
      <c r="G186" s="49"/>
      <c r="H186" s="49"/>
      <c r="I186" s="49"/>
      <c r="J186" s="49"/>
      <c r="K186" s="49"/>
      <c r="L186" s="49"/>
      <c r="M186" s="49"/>
      <c r="N186" s="49"/>
      <c r="O186" s="49"/>
      <c r="P186" s="49"/>
      <c r="Q186" s="49"/>
      <c r="R186" s="49"/>
      <c r="S186" s="49"/>
      <c r="T186" s="49"/>
      <c r="U186" s="49"/>
      <c r="V186" s="49"/>
      <c r="W186" s="49"/>
      <c r="X186" s="49"/>
      <c r="Y186" s="49"/>
      <c r="Z186" s="49"/>
      <c r="AA186" s="49"/>
      <c r="AB186" s="49"/>
      <c r="AC186" s="49"/>
      <c r="AD186" s="49"/>
      <c r="AE186" s="49"/>
      <c r="AF186" s="49"/>
      <c r="AG186" s="49"/>
      <c r="AH186" s="49"/>
      <c r="AI186" s="49"/>
      <c r="AJ186" s="49"/>
      <c r="AK186" s="49"/>
      <c r="AL186" s="49"/>
      <c r="AM186" s="49"/>
      <c r="AN186" s="49"/>
      <c r="AO186" s="49"/>
      <c r="AP186" s="49"/>
      <c r="AQ186" s="49"/>
      <c r="AR186" s="49"/>
      <c r="AS186" s="49"/>
    </row>
    <row r="187" spans="1:45" x14ac:dyDescent="0.35">
      <c r="A187" s="49"/>
      <c r="B187" s="49"/>
      <c r="C187" s="49"/>
      <c r="D187" s="49"/>
      <c r="E187" s="49"/>
      <c r="F187" s="49"/>
      <c r="G187" s="49"/>
      <c r="H187" s="49"/>
      <c r="I187" s="49"/>
      <c r="J187" s="49"/>
      <c r="K187" s="49"/>
      <c r="L187" s="49"/>
      <c r="M187" s="49"/>
      <c r="N187" s="49"/>
      <c r="O187" s="49"/>
      <c r="P187" s="49"/>
      <c r="Q187" s="49"/>
      <c r="R187" s="49"/>
      <c r="S187" s="49"/>
      <c r="T187" s="49"/>
      <c r="U187" s="49"/>
      <c r="V187" s="49"/>
      <c r="W187" s="49"/>
      <c r="X187" s="49"/>
      <c r="Y187" s="49"/>
      <c r="Z187" s="49"/>
      <c r="AA187" s="49"/>
      <c r="AB187" s="49"/>
      <c r="AC187" s="49"/>
      <c r="AD187" s="49"/>
      <c r="AE187" s="49"/>
      <c r="AF187" s="49"/>
      <c r="AG187" s="49"/>
      <c r="AH187" s="49"/>
      <c r="AI187" s="49"/>
      <c r="AJ187" s="49"/>
      <c r="AK187" s="49"/>
      <c r="AL187" s="49"/>
      <c r="AM187" s="49"/>
      <c r="AN187" s="49"/>
      <c r="AO187" s="49"/>
      <c r="AP187" s="49"/>
      <c r="AQ187" s="49"/>
      <c r="AR187" s="49"/>
      <c r="AS187" s="49"/>
    </row>
    <row r="188" spans="1:45" x14ac:dyDescent="0.35">
      <c r="A188" s="49"/>
      <c r="B188" s="49"/>
      <c r="C188" s="49"/>
      <c r="D188" s="49"/>
      <c r="E188" s="49"/>
      <c r="F188" s="49"/>
      <c r="G188" s="49"/>
      <c r="H188" s="49"/>
      <c r="I188" s="49"/>
      <c r="J188" s="49"/>
      <c r="K188" s="49"/>
      <c r="L188" s="49"/>
      <c r="M188" s="49"/>
      <c r="N188" s="49"/>
      <c r="O188" s="49"/>
      <c r="P188" s="49"/>
      <c r="Q188" s="49"/>
      <c r="R188" s="49"/>
      <c r="S188" s="49"/>
      <c r="T188" s="49"/>
      <c r="U188" s="49"/>
      <c r="V188" s="49"/>
      <c r="W188" s="49"/>
      <c r="X188" s="49"/>
      <c r="Y188" s="49"/>
      <c r="Z188" s="49"/>
      <c r="AA188" s="49"/>
      <c r="AB188" s="49"/>
      <c r="AC188" s="49"/>
      <c r="AD188" s="49"/>
      <c r="AE188" s="49"/>
      <c r="AF188" s="49"/>
      <c r="AG188" s="49"/>
      <c r="AH188" s="49"/>
      <c r="AI188" s="49"/>
      <c r="AJ188" s="49"/>
      <c r="AK188" s="49"/>
      <c r="AL188" s="49"/>
      <c r="AM188" s="49"/>
      <c r="AN188" s="49"/>
      <c r="AO188" s="49"/>
      <c r="AP188" s="49"/>
      <c r="AQ188" s="49"/>
      <c r="AR188" s="49"/>
      <c r="AS188" s="49"/>
    </row>
    <row r="189" spans="1:45" x14ac:dyDescent="0.35">
      <c r="A189" s="49"/>
      <c r="B189" s="49"/>
      <c r="C189" s="49"/>
      <c r="D189" s="49"/>
      <c r="E189" s="49"/>
      <c r="F189" s="49"/>
      <c r="G189" s="49"/>
      <c r="H189" s="49"/>
      <c r="I189" s="49"/>
      <c r="J189" s="49"/>
      <c r="K189" s="49"/>
      <c r="L189" s="49"/>
      <c r="M189" s="49"/>
      <c r="N189" s="49"/>
      <c r="O189" s="49"/>
      <c r="P189" s="49"/>
      <c r="Q189" s="49"/>
      <c r="R189" s="49"/>
      <c r="S189" s="49"/>
      <c r="T189" s="49"/>
      <c r="U189" s="49"/>
      <c r="V189" s="49"/>
      <c r="W189" s="49"/>
      <c r="X189" s="49"/>
      <c r="Y189" s="49"/>
      <c r="Z189" s="49"/>
      <c r="AA189" s="49"/>
      <c r="AB189" s="49"/>
      <c r="AC189" s="49"/>
      <c r="AD189" s="49"/>
      <c r="AE189" s="49"/>
      <c r="AF189" s="49"/>
      <c r="AG189" s="49"/>
      <c r="AH189" s="49"/>
      <c r="AI189" s="49"/>
      <c r="AJ189" s="49"/>
      <c r="AK189" s="49"/>
      <c r="AL189" s="49"/>
      <c r="AM189" s="49"/>
      <c r="AN189" s="49"/>
      <c r="AO189" s="49"/>
      <c r="AP189" s="49"/>
      <c r="AQ189" s="49"/>
      <c r="AR189" s="49"/>
      <c r="AS189" s="49"/>
    </row>
    <row r="190" spans="1:45" x14ac:dyDescent="0.35">
      <c r="A190" s="49"/>
      <c r="B190" s="49"/>
      <c r="C190" s="49"/>
      <c r="D190" s="49"/>
      <c r="E190" s="49"/>
      <c r="F190" s="49"/>
      <c r="G190" s="49"/>
      <c r="H190" s="49"/>
      <c r="I190" s="49"/>
      <c r="J190" s="49"/>
      <c r="K190" s="49"/>
      <c r="L190" s="49"/>
      <c r="M190" s="49"/>
      <c r="N190" s="49"/>
      <c r="O190" s="49"/>
      <c r="P190" s="49"/>
      <c r="Q190" s="49"/>
      <c r="R190" s="49"/>
      <c r="S190" s="49"/>
      <c r="T190" s="49"/>
      <c r="U190" s="49"/>
      <c r="V190" s="49"/>
      <c r="W190" s="49"/>
      <c r="X190" s="49"/>
      <c r="Y190" s="49"/>
      <c r="Z190" s="49"/>
      <c r="AA190" s="49"/>
      <c r="AB190" s="49"/>
      <c r="AC190" s="49"/>
      <c r="AD190" s="49"/>
      <c r="AE190" s="49"/>
      <c r="AF190" s="49"/>
      <c r="AG190" s="49"/>
      <c r="AH190" s="49"/>
      <c r="AI190" s="49"/>
      <c r="AJ190" s="49"/>
      <c r="AK190" s="49"/>
      <c r="AL190" s="49"/>
      <c r="AM190" s="49"/>
      <c r="AN190" s="49"/>
      <c r="AO190" s="49"/>
      <c r="AP190" s="49"/>
      <c r="AQ190" s="49"/>
      <c r="AR190" s="49"/>
      <c r="AS190" s="49"/>
    </row>
    <row r="191" spans="1:45" x14ac:dyDescent="0.35">
      <c r="A191" s="49"/>
      <c r="B191" s="49"/>
      <c r="C191" s="49"/>
      <c r="D191" s="49"/>
      <c r="E191" s="49"/>
      <c r="F191" s="49"/>
      <c r="G191" s="49"/>
      <c r="H191" s="49"/>
      <c r="I191" s="49"/>
      <c r="J191" s="49"/>
      <c r="K191" s="49"/>
      <c r="L191" s="49"/>
      <c r="M191" s="49"/>
      <c r="N191" s="49"/>
      <c r="O191" s="49"/>
      <c r="P191" s="49"/>
      <c r="Q191" s="49"/>
      <c r="R191" s="49"/>
      <c r="S191" s="49"/>
      <c r="T191" s="49"/>
      <c r="U191" s="49"/>
      <c r="V191" s="49"/>
      <c r="W191" s="49"/>
      <c r="X191" s="49"/>
      <c r="Y191" s="49"/>
      <c r="Z191" s="49"/>
      <c r="AA191" s="49"/>
      <c r="AB191" s="49"/>
      <c r="AC191" s="49"/>
      <c r="AD191" s="49"/>
      <c r="AE191" s="49"/>
      <c r="AF191" s="49"/>
      <c r="AG191" s="49"/>
      <c r="AH191" s="49"/>
      <c r="AI191" s="49"/>
      <c r="AJ191" s="49"/>
      <c r="AK191" s="49"/>
      <c r="AL191" s="49"/>
      <c r="AM191" s="49"/>
      <c r="AN191" s="49"/>
      <c r="AO191" s="49"/>
      <c r="AP191" s="49"/>
      <c r="AQ191" s="49"/>
      <c r="AR191" s="49"/>
      <c r="AS191" s="49"/>
    </row>
    <row r="192" spans="1:45" x14ac:dyDescent="0.35">
      <c r="A192" s="49"/>
      <c r="B192" s="49"/>
      <c r="C192" s="49"/>
      <c r="D192" s="49"/>
      <c r="E192" s="49"/>
      <c r="F192" s="49"/>
      <c r="G192" s="49"/>
      <c r="H192" s="49"/>
      <c r="I192" s="49"/>
      <c r="J192" s="49"/>
      <c r="K192" s="49"/>
      <c r="L192" s="49"/>
      <c r="M192" s="49"/>
      <c r="N192" s="49"/>
      <c r="O192" s="49"/>
      <c r="P192" s="49"/>
      <c r="Q192" s="49"/>
      <c r="R192" s="49"/>
      <c r="S192" s="49"/>
      <c r="T192" s="49"/>
      <c r="U192" s="49"/>
      <c r="V192" s="49"/>
      <c r="W192" s="49"/>
      <c r="X192" s="49"/>
      <c r="Y192" s="49"/>
      <c r="Z192" s="49"/>
      <c r="AA192" s="49"/>
      <c r="AB192" s="49"/>
      <c r="AC192" s="49"/>
      <c r="AD192" s="49"/>
      <c r="AE192" s="49"/>
      <c r="AF192" s="49"/>
      <c r="AG192" s="49"/>
      <c r="AH192" s="49"/>
      <c r="AI192" s="49"/>
      <c r="AJ192" s="49"/>
      <c r="AK192" s="49"/>
      <c r="AL192" s="49"/>
      <c r="AM192" s="49"/>
      <c r="AN192" s="49"/>
      <c r="AO192" s="49"/>
      <c r="AP192" s="49"/>
      <c r="AQ192" s="49"/>
      <c r="AR192" s="49"/>
      <c r="AS192" s="49"/>
    </row>
    <row r="193" spans="1:45" x14ac:dyDescent="0.35">
      <c r="A193" s="49"/>
      <c r="B193" s="49"/>
      <c r="C193" s="49"/>
      <c r="D193" s="49"/>
      <c r="E193" s="49"/>
      <c r="F193" s="49"/>
      <c r="G193" s="49"/>
      <c r="H193" s="49"/>
      <c r="I193" s="49"/>
      <c r="J193" s="49"/>
      <c r="K193" s="49"/>
      <c r="L193" s="49"/>
      <c r="M193" s="49"/>
      <c r="N193" s="49"/>
      <c r="O193" s="49"/>
      <c r="P193" s="49"/>
      <c r="Q193" s="49"/>
      <c r="R193" s="49"/>
      <c r="S193" s="49"/>
      <c r="T193" s="49"/>
      <c r="U193" s="49"/>
      <c r="V193" s="49"/>
      <c r="W193" s="49"/>
      <c r="X193" s="49"/>
      <c r="Y193" s="49"/>
      <c r="Z193" s="49"/>
      <c r="AA193" s="49"/>
      <c r="AB193" s="49"/>
      <c r="AC193" s="49"/>
      <c r="AD193" s="49"/>
      <c r="AE193" s="49"/>
      <c r="AF193" s="49"/>
      <c r="AG193" s="49"/>
      <c r="AH193" s="49"/>
      <c r="AI193" s="49"/>
      <c r="AJ193" s="49"/>
      <c r="AK193" s="49"/>
      <c r="AL193" s="49"/>
      <c r="AM193" s="49"/>
      <c r="AN193" s="49"/>
      <c r="AO193" s="49"/>
      <c r="AP193" s="49"/>
      <c r="AQ193" s="49"/>
      <c r="AR193" s="49"/>
      <c r="AS193" s="49"/>
    </row>
    <row r="194" spans="1:45" x14ac:dyDescent="0.35">
      <c r="A194" s="49"/>
      <c r="B194" s="49"/>
      <c r="C194" s="49"/>
      <c r="D194" s="49"/>
      <c r="E194" s="49"/>
      <c r="F194" s="49"/>
      <c r="G194" s="49"/>
      <c r="H194" s="49"/>
      <c r="I194" s="49"/>
      <c r="J194" s="49"/>
      <c r="K194" s="49"/>
      <c r="L194" s="49"/>
      <c r="M194" s="49"/>
      <c r="N194" s="49"/>
      <c r="O194" s="49"/>
      <c r="P194" s="49"/>
      <c r="Q194" s="49"/>
      <c r="R194" s="49"/>
      <c r="S194" s="49"/>
      <c r="T194" s="49"/>
      <c r="U194" s="49"/>
      <c r="V194" s="49"/>
      <c r="W194" s="49"/>
      <c r="X194" s="49"/>
      <c r="Y194" s="49"/>
      <c r="Z194" s="49"/>
      <c r="AA194" s="49"/>
      <c r="AB194" s="49"/>
      <c r="AC194" s="49"/>
      <c r="AD194" s="49"/>
      <c r="AE194" s="49"/>
      <c r="AF194" s="49"/>
      <c r="AG194" s="49"/>
      <c r="AH194" s="49"/>
      <c r="AI194" s="49"/>
      <c r="AJ194" s="49"/>
      <c r="AK194" s="49"/>
      <c r="AL194" s="49"/>
      <c r="AM194" s="49"/>
      <c r="AN194" s="49"/>
      <c r="AO194" s="49"/>
      <c r="AP194" s="49"/>
      <c r="AQ194" s="49"/>
      <c r="AR194" s="49"/>
      <c r="AS194" s="49"/>
    </row>
    <row r="195" spans="1:45" x14ac:dyDescent="0.35">
      <c r="A195" s="49"/>
      <c r="B195" s="49"/>
      <c r="C195" s="49"/>
      <c r="D195" s="49"/>
      <c r="E195" s="49"/>
      <c r="F195" s="49"/>
      <c r="G195" s="49"/>
      <c r="H195" s="49"/>
      <c r="I195" s="49"/>
      <c r="J195" s="49"/>
      <c r="K195" s="49"/>
      <c r="L195" s="49"/>
      <c r="M195" s="49"/>
      <c r="N195" s="49"/>
      <c r="O195" s="49"/>
      <c r="P195" s="49"/>
      <c r="Q195" s="49"/>
      <c r="R195" s="49"/>
      <c r="S195" s="49"/>
      <c r="T195" s="49"/>
      <c r="U195" s="49"/>
      <c r="V195" s="49"/>
      <c r="W195" s="49"/>
      <c r="X195" s="49"/>
      <c r="Y195" s="49"/>
      <c r="Z195" s="49"/>
      <c r="AA195" s="49"/>
      <c r="AB195" s="49"/>
      <c r="AC195" s="49"/>
      <c r="AD195" s="49"/>
      <c r="AE195" s="49"/>
      <c r="AF195" s="49"/>
      <c r="AG195" s="49"/>
      <c r="AH195" s="49"/>
      <c r="AI195" s="49"/>
      <c r="AJ195" s="49"/>
      <c r="AK195" s="49"/>
      <c r="AL195" s="49"/>
      <c r="AM195" s="49"/>
      <c r="AN195" s="49"/>
      <c r="AO195" s="49"/>
      <c r="AP195" s="49"/>
      <c r="AQ195" s="49"/>
      <c r="AR195" s="49"/>
      <c r="AS195" s="49"/>
    </row>
    <row r="196" spans="1:45" x14ac:dyDescent="0.35">
      <c r="A196" s="49"/>
      <c r="B196" s="49"/>
      <c r="C196" s="49"/>
      <c r="D196" s="49"/>
      <c r="E196" s="49"/>
      <c r="F196" s="49"/>
      <c r="G196" s="49"/>
      <c r="H196" s="49"/>
      <c r="I196" s="49"/>
      <c r="J196" s="49"/>
      <c r="K196" s="49"/>
      <c r="L196" s="49"/>
      <c r="M196" s="49"/>
      <c r="N196" s="49"/>
      <c r="O196" s="49"/>
      <c r="P196" s="49"/>
      <c r="Q196" s="49"/>
      <c r="R196" s="49"/>
      <c r="S196" s="49"/>
      <c r="T196" s="49"/>
      <c r="U196" s="49"/>
      <c r="V196" s="49"/>
      <c r="W196" s="49"/>
      <c r="X196" s="49"/>
      <c r="Y196" s="49"/>
      <c r="Z196" s="49"/>
      <c r="AA196" s="49"/>
      <c r="AB196" s="49"/>
      <c r="AC196" s="49"/>
      <c r="AD196" s="49"/>
      <c r="AE196" s="49"/>
      <c r="AF196" s="49"/>
      <c r="AG196" s="49"/>
      <c r="AH196" s="49"/>
      <c r="AI196" s="49"/>
      <c r="AJ196" s="49"/>
      <c r="AK196" s="49"/>
      <c r="AL196" s="49"/>
      <c r="AM196" s="49"/>
      <c r="AN196" s="49"/>
      <c r="AO196" s="49"/>
      <c r="AP196" s="49"/>
      <c r="AQ196" s="49"/>
      <c r="AR196" s="49"/>
      <c r="AS196" s="49"/>
    </row>
    <row r="197" spans="1:45" x14ac:dyDescent="0.35">
      <c r="A197" s="49"/>
      <c r="B197" s="49"/>
      <c r="C197" s="49"/>
      <c r="D197" s="49"/>
      <c r="E197" s="49"/>
      <c r="F197" s="49"/>
      <c r="G197" s="49"/>
      <c r="H197" s="49"/>
      <c r="I197" s="49"/>
      <c r="J197" s="49"/>
      <c r="K197" s="49"/>
      <c r="L197" s="49"/>
      <c r="M197" s="49"/>
      <c r="N197" s="49"/>
      <c r="O197" s="49"/>
      <c r="P197" s="49"/>
      <c r="Q197" s="49"/>
      <c r="R197" s="49"/>
      <c r="S197" s="49"/>
      <c r="T197" s="49"/>
      <c r="U197" s="49"/>
      <c r="V197" s="49"/>
      <c r="W197" s="49"/>
      <c r="X197" s="49"/>
      <c r="Y197" s="49"/>
      <c r="Z197" s="49"/>
      <c r="AA197" s="49"/>
      <c r="AB197" s="49"/>
      <c r="AC197" s="49"/>
      <c r="AD197" s="49"/>
      <c r="AE197" s="49"/>
      <c r="AF197" s="49"/>
      <c r="AG197" s="49"/>
      <c r="AH197" s="49"/>
      <c r="AI197" s="49"/>
      <c r="AJ197" s="49"/>
      <c r="AK197" s="49"/>
      <c r="AL197" s="49"/>
      <c r="AM197" s="49"/>
      <c r="AN197" s="49"/>
      <c r="AO197" s="49"/>
      <c r="AP197" s="49"/>
      <c r="AQ197" s="49"/>
      <c r="AR197" s="49"/>
      <c r="AS197" s="49"/>
    </row>
    <row r="198" spans="1:45" x14ac:dyDescent="0.35">
      <c r="A198" s="49"/>
      <c r="B198" s="49"/>
      <c r="C198" s="49"/>
      <c r="D198" s="49"/>
      <c r="E198" s="49"/>
      <c r="F198" s="49"/>
      <c r="G198" s="49"/>
      <c r="H198" s="49"/>
      <c r="I198" s="49"/>
      <c r="J198" s="49"/>
      <c r="K198" s="49"/>
      <c r="L198" s="49"/>
      <c r="M198" s="49"/>
      <c r="N198" s="49"/>
      <c r="O198" s="49"/>
      <c r="P198" s="49"/>
      <c r="Q198" s="49"/>
      <c r="R198" s="49"/>
      <c r="S198" s="49"/>
      <c r="T198" s="49"/>
      <c r="U198" s="49"/>
      <c r="V198" s="49"/>
      <c r="W198" s="49"/>
      <c r="X198" s="49"/>
      <c r="Y198" s="49"/>
      <c r="Z198" s="49"/>
      <c r="AA198" s="49"/>
      <c r="AB198" s="49"/>
      <c r="AC198" s="49"/>
      <c r="AD198" s="49"/>
      <c r="AE198" s="49"/>
      <c r="AF198" s="49"/>
      <c r="AG198" s="49"/>
      <c r="AH198" s="49"/>
      <c r="AI198" s="49"/>
      <c r="AJ198" s="49"/>
      <c r="AK198" s="49"/>
      <c r="AL198" s="49"/>
      <c r="AM198" s="49"/>
      <c r="AN198" s="49"/>
      <c r="AO198" s="49"/>
      <c r="AP198" s="49"/>
      <c r="AQ198" s="49"/>
      <c r="AR198" s="49"/>
      <c r="AS198" s="49"/>
    </row>
    <row r="199" spans="1:45" x14ac:dyDescent="0.35">
      <c r="A199" s="49"/>
      <c r="B199" s="49"/>
      <c r="C199" s="49"/>
      <c r="D199" s="49"/>
      <c r="E199" s="49"/>
      <c r="F199" s="49"/>
      <c r="G199" s="49"/>
      <c r="H199" s="49"/>
      <c r="I199" s="49"/>
      <c r="J199" s="49"/>
      <c r="K199" s="49"/>
      <c r="L199" s="49"/>
      <c r="M199" s="49"/>
      <c r="N199" s="49"/>
      <c r="O199" s="49"/>
      <c r="P199" s="49"/>
      <c r="Q199" s="49"/>
      <c r="R199" s="49"/>
      <c r="S199" s="49"/>
      <c r="T199" s="49"/>
      <c r="U199" s="49"/>
      <c r="V199" s="49"/>
      <c r="W199" s="49"/>
      <c r="X199" s="49"/>
      <c r="Y199" s="49"/>
      <c r="Z199" s="49"/>
      <c r="AA199" s="49"/>
      <c r="AB199" s="49"/>
      <c r="AC199" s="49"/>
      <c r="AD199" s="49"/>
      <c r="AE199" s="49"/>
      <c r="AF199" s="49"/>
      <c r="AG199" s="49"/>
      <c r="AH199" s="49"/>
      <c r="AI199" s="49"/>
      <c r="AJ199" s="49"/>
      <c r="AK199" s="49"/>
      <c r="AL199" s="49"/>
      <c r="AM199" s="49"/>
      <c r="AN199" s="49"/>
      <c r="AO199" s="49"/>
      <c r="AP199" s="49"/>
      <c r="AQ199" s="49"/>
      <c r="AR199" s="49"/>
      <c r="AS199" s="49"/>
    </row>
    <row r="200" spans="1:45" x14ac:dyDescent="0.35">
      <c r="A200" s="49"/>
      <c r="B200" s="49"/>
      <c r="C200" s="49"/>
      <c r="D200" s="49"/>
      <c r="E200" s="49"/>
      <c r="F200" s="49"/>
      <c r="G200" s="49"/>
      <c r="H200" s="49"/>
      <c r="I200" s="49"/>
      <c r="J200" s="49"/>
      <c r="K200" s="49"/>
      <c r="L200" s="49"/>
      <c r="M200" s="49"/>
      <c r="N200" s="49"/>
      <c r="O200" s="49"/>
      <c r="P200" s="49"/>
      <c r="Q200" s="49"/>
      <c r="R200" s="49"/>
      <c r="S200" s="49"/>
      <c r="T200" s="49"/>
      <c r="U200" s="49"/>
      <c r="V200" s="49"/>
      <c r="W200" s="49"/>
      <c r="X200" s="49"/>
      <c r="Y200" s="49"/>
      <c r="Z200" s="49"/>
      <c r="AA200" s="49"/>
      <c r="AB200" s="49"/>
      <c r="AC200" s="49"/>
      <c r="AD200" s="49"/>
      <c r="AE200" s="49"/>
      <c r="AF200" s="49"/>
      <c r="AG200" s="49"/>
      <c r="AH200" s="49"/>
      <c r="AI200" s="49"/>
      <c r="AJ200" s="49"/>
      <c r="AK200" s="49"/>
      <c r="AL200" s="49"/>
      <c r="AM200" s="49"/>
      <c r="AN200" s="49"/>
      <c r="AO200" s="49"/>
      <c r="AP200" s="49"/>
      <c r="AQ200" s="49"/>
      <c r="AR200" s="49"/>
      <c r="AS200" s="49"/>
    </row>
    <row r="201" spans="1:45" x14ac:dyDescent="0.35">
      <c r="A201" s="49"/>
      <c r="B201" s="49"/>
      <c r="C201" s="49"/>
      <c r="D201" s="49"/>
      <c r="E201" s="49"/>
      <c r="F201" s="49"/>
      <c r="G201" s="49"/>
      <c r="H201" s="49"/>
      <c r="I201" s="49"/>
      <c r="J201" s="49"/>
      <c r="K201" s="49"/>
      <c r="L201" s="49"/>
      <c r="M201" s="49"/>
      <c r="N201" s="49"/>
      <c r="O201" s="49"/>
      <c r="P201" s="49"/>
      <c r="Q201" s="49"/>
      <c r="R201" s="49"/>
      <c r="S201" s="49"/>
      <c r="T201" s="49"/>
      <c r="U201" s="49"/>
      <c r="V201" s="49"/>
      <c r="W201" s="49"/>
      <c r="X201" s="49"/>
      <c r="Y201" s="49"/>
      <c r="Z201" s="49"/>
      <c r="AA201" s="49"/>
      <c r="AB201" s="49"/>
      <c r="AC201" s="49"/>
      <c r="AD201" s="49"/>
      <c r="AE201" s="49"/>
      <c r="AF201" s="49"/>
      <c r="AG201" s="49"/>
      <c r="AH201" s="49"/>
      <c r="AI201" s="49"/>
      <c r="AJ201" s="49"/>
      <c r="AK201" s="49"/>
      <c r="AL201" s="49"/>
      <c r="AM201" s="49"/>
      <c r="AN201" s="49"/>
      <c r="AO201" s="49"/>
      <c r="AP201" s="49"/>
      <c r="AQ201" s="49"/>
      <c r="AR201" s="49"/>
      <c r="AS201" s="49"/>
    </row>
    <row r="202" spans="1:45" x14ac:dyDescent="0.35">
      <c r="A202" s="49"/>
      <c r="B202" s="49"/>
      <c r="C202" s="49"/>
      <c r="D202" s="49"/>
      <c r="E202" s="49"/>
      <c r="F202" s="49"/>
      <c r="G202" s="49"/>
      <c r="H202" s="49"/>
      <c r="I202" s="49"/>
      <c r="J202" s="49"/>
      <c r="K202" s="49"/>
      <c r="L202" s="49"/>
      <c r="M202" s="49"/>
      <c r="N202" s="49"/>
      <c r="O202" s="49"/>
      <c r="P202" s="49"/>
      <c r="Q202" s="49"/>
      <c r="R202" s="49"/>
      <c r="S202" s="49"/>
      <c r="T202" s="49"/>
      <c r="U202" s="49"/>
      <c r="V202" s="49"/>
      <c r="W202" s="49"/>
      <c r="X202" s="49"/>
      <c r="Y202" s="49"/>
      <c r="Z202" s="49"/>
      <c r="AA202" s="49"/>
      <c r="AB202" s="49"/>
      <c r="AC202" s="49"/>
      <c r="AD202" s="49"/>
      <c r="AE202" s="49"/>
      <c r="AF202" s="49"/>
      <c r="AG202" s="49"/>
      <c r="AH202" s="49"/>
      <c r="AI202" s="49"/>
      <c r="AJ202" s="49"/>
      <c r="AK202" s="49"/>
      <c r="AL202" s="49"/>
      <c r="AM202" s="49"/>
      <c r="AN202" s="49"/>
      <c r="AO202" s="49"/>
      <c r="AP202" s="49"/>
      <c r="AQ202" s="49"/>
      <c r="AR202" s="49"/>
      <c r="AS202" s="49"/>
    </row>
    <row r="203" spans="1:45" x14ac:dyDescent="0.35">
      <c r="A203" s="49"/>
      <c r="B203" s="49"/>
      <c r="C203" s="49"/>
      <c r="D203" s="49"/>
      <c r="E203" s="49"/>
      <c r="F203" s="49"/>
      <c r="G203" s="49"/>
      <c r="H203" s="49"/>
      <c r="I203" s="49"/>
      <c r="J203" s="49"/>
      <c r="K203" s="49"/>
      <c r="L203" s="49"/>
      <c r="M203" s="49"/>
      <c r="N203" s="49"/>
      <c r="O203" s="49"/>
      <c r="P203" s="49"/>
      <c r="Q203" s="49"/>
      <c r="R203" s="49"/>
      <c r="S203" s="49"/>
      <c r="T203" s="49"/>
      <c r="U203" s="49"/>
      <c r="V203" s="49"/>
      <c r="W203" s="49"/>
      <c r="X203" s="49"/>
      <c r="Y203" s="49"/>
      <c r="Z203" s="49"/>
      <c r="AA203" s="49"/>
      <c r="AB203" s="49"/>
      <c r="AC203" s="49"/>
      <c r="AD203" s="49"/>
      <c r="AE203" s="49"/>
      <c r="AF203" s="49"/>
      <c r="AG203" s="49"/>
      <c r="AH203" s="49"/>
      <c r="AI203" s="49"/>
      <c r="AJ203" s="49"/>
      <c r="AK203" s="49"/>
      <c r="AL203" s="49"/>
      <c r="AM203" s="49"/>
      <c r="AN203" s="49"/>
      <c r="AO203" s="49"/>
      <c r="AP203" s="49"/>
      <c r="AQ203" s="49"/>
      <c r="AR203" s="49"/>
      <c r="AS203" s="49"/>
    </row>
    <row r="204" spans="1:45" x14ac:dyDescent="0.35">
      <c r="A204" s="49"/>
      <c r="B204" s="49"/>
      <c r="C204" s="49"/>
      <c r="D204" s="49"/>
      <c r="E204" s="49"/>
      <c r="F204" s="49"/>
      <c r="G204" s="49"/>
      <c r="H204" s="49"/>
      <c r="I204" s="49"/>
      <c r="J204" s="49"/>
      <c r="K204" s="49"/>
      <c r="L204" s="49"/>
      <c r="M204" s="49"/>
      <c r="N204" s="49"/>
      <c r="O204" s="49"/>
      <c r="P204" s="49"/>
      <c r="Q204" s="49"/>
      <c r="R204" s="49"/>
      <c r="S204" s="49"/>
      <c r="T204" s="49"/>
      <c r="U204" s="49"/>
      <c r="V204" s="49"/>
      <c r="W204" s="49"/>
      <c r="X204" s="49"/>
      <c r="Y204" s="49"/>
      <c r="Z204" s="49"/>
      <c r="AA204" s="49"/>
      <c r="AB204" s="49"/>
      <c r="AC204" s="49"/>
      <c r="AD204" s="49"/>
      <c r="AE204" s="49"/>
      <c r="AF204" s="49"/>
      <c r="AG204" s="49"/>
      <c r="AH204" s="49"/>
      <c r="AI204" s="49"/>
      <c r="AJ204" s="49"/>
      <c r="AK204" s="49"/>
      <c r="AL204" s="49"/>
      <c r="AM204" s="49"/>
      <c r="AN204" s="49"/>
      <c r="AO204" s="49"/>
      <c r="AP204" s="49"/>
      <c r="AQ204" s="49"/>
      <c r="AR204" s="49"/>
      <c r="AS204" s="49"/>
    </row>
    <row r="205" spans="1:45" x14ac:dyDescent="0.35">
      <c r="A205" s="49"/>
      <c r="B205" s="49"/>
      <c r="C205" s="49"/>
      <c r="D205" s="49"/>
      <c r="E205" s="49"/>
      <c r="F205" s="49"/>
      <c r="G205" s="49"/>
      <c r="H205" s="49"/>
      <c r="I205" s="49"/>
      <c r="J205" s="49"/>
      <c r="K205" s="49"/>
      <c r="L205" s="49"/>
      <c r="M205" s="49"/>
      <c r="N205" s="49"/>
      <c r="O205" s="49"/>
      <c r="P205" s="49"/>
      <c r="Q205" s="49"/>
      <c r="R205" s="49"/>
      <c r="S205" s="49"/>
      <c r="T205" s="49"/>
      <c r="U205" s="49"/>
      <c r="V205" s="49"/>
      <c r="W205" s="49"/>
      <c r="X205" s="49"/>
      <c r="Y205" s="49"/>
      <c r="Z205" s="49"/>
      <c r="AA205" s="49"/>
      <c r="AB205" s="49"/>
      <c r="AC205" s="49"/>
      <c r="AD205" s="49"/>
      <c r="AE205" s="49"/>
      <c r="AF205" s="49"/>
      <c r="AG205" s="49"/>
      <c r="AH205" s="49"/>
      <c r="AI205" s="49"/>
      <c r="AJ205" s="49"/>
      <c r="AK205" s="49"/>
      <c r="AL205" s="49"/>
      <c r="AM205" s="49"/>
      <c r="AN205" s="49"/>
      <c r="AO205" s="49"/>
      <c r="AP205" s="49"/>
      <c r="AQ205" s="49"/>
      <c r="AR205" s="49"/>
      <c r="AS205" s="49"/>
    </row>
    <row r="206" spans="1:45" x14ac:dyDescent="0.35">
      <c r="A206" s="49"/>
      <c r="B206" s="49"/>
      <c r="C206" s="49"/>
      <c r="D206" s="49"/>
      <c r="E206" s="49"/>
      <c r="F206" s="49"/>
      <c r="G206" s="49"/>
      <c r="H206" s="49"/>
      <c r="I206" s="49"/>
      <c r="J206" s="49"/>
      <c r="K206" s="49"/>
      <c r="L206" s="49"/>
      <c r="M206" s="49"/>
      <c r="N206" s="49"/>
      <c r="O206" s="49"/>
      <c r="P206" s="49"/>
      <c r="Q206" s="49"/>
      <c r="R206" s="49"/>
      <c r="S206" s="49"/>
      <c r="T206" s="49"/>
      <c r="U206" s="49"/>
      <c r="V206" s="49"/>
      <c r="W206" s="49"/>
      <c r="X206" s="49"/>
      <c r="Y206" s="49"/>
      <c r="Z206" s="49"/>
      <c r="AA206" s="49"/>
      <c r="AB206" s="49"/>
      <c r="AC206" s="49"/>
      <c r="AD206" s="49"/>
      <c r="AE206" s="49"/>
      <c r="AF206" s="49"/>
      <c r="AG206" s="49"/>
      <c r="AH206" s="49"/>
      <c r="AI206" s="49"/>
      <c r="AJ206" s="49"/>
      <c r="AK206" s="49"/>
      <c r="AL206" s="49"/>
      <c r="AM206" s="49"/>
      <c r="AN206" s="49"/>
      <c r="AO206" s="49"/>
      <c r="AP206" s="49"/>
      <c r="AQ206" s="49"/>
      <c r="AR206" s="49"/>
      <c r="AS206" s="49"/>
    </row>
    <row r="207" spans="1:45" x14ac:dyDescent="0.35">
      <c r="A207" s="49"/>
      <c r="B207" s="49"/>
      <c r="C207" s="49"/>
      <c r="D207" s="49"/>
      <c r="E207" s="49"/>
      <c r="F207" s="49"/>
      <c r="G207" s="49"/>
      <c r="H207" s="49"/>
      <c r="I207" s="49"/>
      <c r="J207" s="49"/>
      <c r="K207" s="49"/>
      <c r="L207" s="49"/>
      <c r="M207" s="49"/>
      <c r="N207" s="49"/>
      <c r="O207" s="49"/>
      <c r="P207" s="49"/>
      <c r="Q207" s="49"/>
      <c r="R207" s="49"/>
      <c r="S207" s="49"/>
      <c r="T207" s="49"/>
      <c r="U207" s="49"/>
      <c r="V207" s="49"/>
      <c r="W207" s="49"/>
      <c r="X207" s="49"/>
      <c r="Y207" s="49"/>
      <c r="Z207" s="49"/>
      <c r="AA207" s="49"/>
      <c r="AB207" s="49"/>
      <c r="AC207" s="49"/>
      <c r="AD207" s="49"/>
      <c r="AE207" s="49"/>
      <c r="AF207" s="49"/>
      <c r="AG207" s="49"/>
      <c r="AH207" s="49"/>
      <c r="AI207" s="49"/>
      <c r="AJ207" s="49"/>
      <c r="AK207" s="49"/>
      <c r="AL207" s="49"/>
      <c r="AM207" s="49"/>
      <c r="AN207" s="49"/>
      <c r="AO207" s="49"/>
      <c r="AP207" s="49"/>
      <c r="AQ207" s="49"/>
      <c r="AR207" s="49"/>
      <c r="AS207" s="49"/>
    </row>
    <row r="208" spans="1:45" x14ac:dyDescent="0.35">
      <c r="A208" s="49"/>
      <c r="B208" s="49"/>
      <c r="C208" s="49"/>
      <c r="D208" s="49"/>
      <c r="E208" s="49"/>
      <c r="F208" s="49"/>
      <c r="G208" s="49"/>
      <c r="H208" s="49"/>
      <c r="I208" s="49"/>
      <c r="J208" s="49"/>
      <c r="K208" s="49"/>
      <c r="L208" s="49"/>
      <c r="M208" s="49"/>
      <c r="N208" s="49"/>
      <c r="O208" s="49"/>
      <c r="P208" s="49"/>
      <c r="Q208" s="49"/>
      <c r="R208" s="49"/>
      <c r="S208" s="49"/>
      <c r="T208" s="49"/>
      <c r="U208" s="49"/>
      <c r="V208" s="49"/>
      <c r="W208" s="49"/>
      <c r="X208" s="49"/>
      <c r="Y208" s="49"/>
      <c r="Z208" s="49"/>
      <c r="AA208" s="49"/>
      <c r="AB208" s="49"/>
      <c r="AC208" s="49"/>
      <c r="AD208" s="49"/>
      <c r="AE208" s="49"/>
      <c r="AF208" s="49"/>
      <c r="AG208" s="49"/>
      <c r="AH208" s="49"/>
      <c r="AI208" s="49"/>
      <c r="AJ208" s="49"/>
      <c r="AK208" s="49"/>
      <c r="AL208" s="49"/>
      <c r="AM208" s="49"/>
      <c r="AN208" s="49"/>
      <c r="AO208" s="49"/>
      <c r="AP208" s="49"/>
      <c r="AQ208" s="49"/>
      <c r="AR208" s="49"/>
      <c r="AS208" s="49"/>
    </row>
    <row r="209" spans="1:45" x14ac:dyDescent="0.35">
      <c r="A209" s="49"/>
      <c r="B209" s="49"/>
      <c r="C209" s="49"/>
      <c r="D209" s="49"/>
      <c r="E209" s="49"/>
      <c r="F209" s="49"/>
      <c r="G209" s="49"/>
      <c r="H209" s="49"/>
      <c r="I209" s="49"/>
      <c r="J209" s="49"/>
      <c r="K209" s="49"/>
      <c r="L209" s="49"/>
      <c r="M209" s="49"/>
      <c r="N209" s="49"/>
      <c r="O209" s="49"/>
      <c r="P209" s="49"/>
      <c r="Q209" s="49"/>
      <c r="R209" s="49"/>
      <c r="S209" s="49"/>
      <c r="T209" s="49"/>
      <c r="U209" s="49"/>
      <c r="V209" s="49"/>
      <c r="W209" s="49"/>
      <c r="X209" s="49"/>
      <c r="Y209" s="49"/>
      <c r="Z209" s="49"/>
      <c r="AA209" s="49"/>
      <c r="AB209" s="49"/>
      <c r="AC209" s="49"/>
      <c r="AD209" s="49"/>
      <c r="AE209" s="49"/>
      <c r="AF209" s="49"/>
      <c r="AG209" s="49"/>
      <c r="AH209" s="49"/>
      <c r="AI209" s="49"/>
      <c r="AJ209" s="49"/>
      <c r="AK209" s="49"/>
      <c r="AL209" s="49"/>
      <c r="AM209" s="49"/>
      <c r="AN209" s="49"/>
      <c r="AO209" s="49"/>
      <c r="AP209" s="49"/>
      <c r="AQ209" s="49"/>
      <c r="AR209" s="49"/>
      <c r="AS209" s="49"/>
    </row>
    <row r="210" spans="1:45" x14ac:dyDescent="0.35">
      <c r="A210" s="49"/>
      <c r="B210" s="49"/>
      <c r="C210" s="49"/>
      <c r="D210" s="49"/>
      <c r="E210" s="49"/>
      <c r="F210" s="49"/>
      <c r="G210" s="49"/>
      <c r="H210" s="49"/>
      <c r="I210" s="49"/>
      <c r="J210" s="49"/>
      <c r="K210" s="49"/>
      <c r="L210" s="49"/>
      <c r="M210" s="49"/>
      <c r="N210" s="49"/>
      <c r="O210" s="49"/>
      <c r="P210" s="49"/>
      <c r="Q210" s="49"/>
      <c r="R210" s="49"/>
      <c r="S210" s="49"/>
      <c r="T210" s="49"/>
      <c r="U210" s="49"/>
      <c r="V210" s="49"/>
      <c r="W210" s="49"/>
      <c r="X210" s="49"/>
      <c r="Y210" s="49"/>
      <c r="Z210" s="49"/>
      <c r="AA210" s="49"/>
      <c r="AB210" s="49"/>
      <c r="AC210" s="49"/>
      <c r="AD210" s="49"/>
      <c r="AE210" s="49"/>
      <c r="AF210" s="49"/>
      <c r="AG210" s="49"/>
      <c r="AH210" s="49"/>
      <c r="AI210" s="49"/>
      <c r="AJ210" s="49"/>
      <c r="AK210" s="49"/>
      <c r="AL210" s="49"/>
      <c r="AM210" s="49"/>
      <c r="AN210" s="49"/>
      <c r="AO210" s="49"/>
      <c r="AP210" s="49"/>
      <c r="AQ210" s="49"/>
      <c r="AR210" s="49"/>
      <c r="AS210" s="49"/>
    </row>
    <row r="211" spans="1:45" x14ac:dyDescent="0.35">
      <c r="A211" s="49"/>
      <c r="B211" s="49"/>
      <c r="C211" s="49"/>
      <c r="D211" s="49"/>
      <c r="E211" s="49"/>
      <c r="F211" s="49"/>
      <c r="G211" s="49"/>
      <c r="H211" s="49"/>
      <c r="I211" s="49"/>
      <c r="J211" s="49"/>
      <c r="K211" s="49"/>
      <c r="L211" s="49"/>
      <c r="M211" s="49"/>
      <c r="N211" s="49"/>
      <c r="O211" s="49"/>
      <c r="P211" s="49"/>
      <c r="Q211" s="49"/>
      <c r="R211" s="49"/>
      <c r="S211" s="49"/>
      <c r="T211" s="49"/>
      <c r="U211" s="49"/>
      <c r="V211" s="49"/>
      <c r="W211" s="49"/>
      <c r="X211" s="49"/>
      <c r="Y211" s="49"/>
      <c r="Z211" s="49"/>
      <c r="AA211" s="49"/>
      <c r="AB211" s="49"/>
      <c r="AC211" s="49"/>
      <c r="AD211" s="49"/>
      <c r="AE211" s="49"/>
      <c r="AF211" s="49"/>
      <c r="AG211" s="49"/>
      <c r="AH211" s="49"/>
      <c r="AI211" s="49"/>
      <c r="AJ211" s="49"/>
      <c r="AK211" s="49"/>
      <c r="AL211" s="49"/>
      <c r="AM211" s="49"/>
      <c r="AN211" s="49"/>
      <c r="AO211" s="49"/>
      <c r="AP211" s="49"/>
      <c r="AQ211" s="49"/>
      <c r="AR211" s="49"/>
      <c r="AS211" s="49"/>
    </row>
    <row r="212" spans="1:45" x14ac:dyDescent="0.35">
      <c r="A212" s="49"/>
      <c r="B212" s="49"/>
      <c r="C212" s="49"/>
      <c r="D212" s="49"/>
      <c r="E212" s="49"/>
      <c r="F212" s="49"/>
      <c r="G212" s="49"/>
      <c r="H212" s="49"/>
      <c r="I212" s="49"/>
      <c r="J212" s="49"/>
      <c r="K212" s="49"/>
      <c r="L212" s="49"/>
      <c r="M212" s="49"/>
      <c r="N212" s="49"/>
      <c r="O212" s="49"/>
      <c r="P212" s="49"/>
      <c r="Q212" s="49"/>
      <c r="R212" s="49"/>
      <c r="S212" s="49"/>
      <c r="T212" s="49"/>
      <c r="U212" s="49"/>
      <c r="V212" s="49"/>
      <c r="W212" s="49"/>
      <c r="X212" s="49"/>
      <c r="Y212" s="49"/>
      <c r="Z212" s="49"/>
      <c r="AA212" s="49"/>
      <c r="AB212" s="49"/>
      <c r="AC212" s="49"/>
      <c r="AD212" s="49"/>
      <c r="AE212" s="49"/>
      <c r="AF212" s="49"/>
      <c r="AG212" s="49"/>
      <c r="AH212" s="49"/>
      <c r="AI212" s="49"/>
      <c r="AJ212" s="49"/>
      <c r="AK212" s="49"/>
      <c r="AL212" s="49"/>
      <c r="AM212" s="49"/>
      <c r="AN212" s="49"/>
      <c r="AO212" s="49"/>
      <c r="AP212" s="49"/>
      <c r="AQ212" s="49"/>
      <c r="AR212" s="49"/>
      <c r="AS212" s="49"/>
    </row>
    <row r="213" spans="1:45" x14ac:dyDescent="0.35">
      <c r="A213" s="49"/>
      <c r="B213" s="49"/>
      <c r="C213" s="49"/>
      <c r="D213" s="49"/>
      <c r="E213" s="49"/>
      <c r="F213" s="49"/>
      <c r="G213" s="49"/>
      <c r="H213" s="49"/>
      <c r="I213" s="49"/>
      <c r="J213" s="49"/>
      <c r="K213" s="49"/>
      <c r="L213" s="49"/>
      <c r="M213" s="49"/>
      <c r="N213" s="49"/>
      <c r="O213" s="49"/>
      <c r="P213" s="49"/>
      <c r="Q213" s="49"/>
      <c r="R213" s="49"/>
      <c r="S213" s="49"/>
      <c r="T213" s="49"/>
      <c r="U213" s="49"/>
      <c r="V213" s="49"/>
      <c r="W213" s="49"/>
      <c r="X213" s="49"/>
      <c r="Y213" s="49"/>
      <c r="Z213" s="49"/>
      <c r="AA213" s="49"/>
      <c r="AB213" s="49"/>
      <c r="AC213" s="49"/>
      <c r="AD213" s="49"/>
      <c r="AE213" s="49"/>
      <c r="AF213" s="49"/>
      <c r="AG213" s="49"/>
      <c r="AH213" s="49"/>
      <c r="AI213" s="49"/>
      <c r="AJ213" s="49"/>
      <c r="AK213" s="49"/>
      <c r="AL213" s="49"/>
      <c r="AM213" s="49"/>
      <c r="AN213" s="49"/>
      <c r="AO213" s="49"/>
      <c r="AP213" s="49"/>
      <c r="AQ213" s="49"/>
      <c r="AR213" s="49"/>
      <c r="AS213" s="49"/>
    </row>
    <row r="214" spans="1:45" x14ac:dyDescent="0.35">
      <c r="A214" s="49"/>
      <c r="B214" s="49"/>
      <c r="C214" s="49"/>
      <c r="D214" s="49"/>
      <c r="E214" s="49"/>
      <c r="F214" s="49"/>
      <c r="G214" s="49"/>
      <c r="H214" s="49"/>
      <c r="I214" s="49"/>
      <c r="J214" s="49"/>
      <c r="K214" s="49"/>
      <c r="L214" s="49"/>
      <c r="M214" s="49"/>
      <c r="N214" s="49"/>
      <c r="O214" s="49"/>
      <c r="P214" s="49"/>
      <c r="Q214" s="49"/>
      <c r="R214" s="49"/>
      <c r="S214" s="49"/>
      <c r="T214" s="49"/>
      <c r="U214" s="49"/>
      <c r="V214" s="49"/>
      <c r="W214" s="49"/>
      <c r="X214" s="49"/>
      <c r="Y214" s="49"/>
      <c r="Z214" s="49"/>
      <c r="AA214" s="49"/>
      <c r="AB214" s="49"/>
      <c r="AC214" s="49"/>
      <c r="AD214" s="49"/>
      <c r="AE214" s="49"/>
      <c r="AF214" s="49"/>
      <c r="AG214" s="49"/>
      <c r="AH214" s="49"/>
      <c r="AI214" s="49"/>
      <c r="AJ214" s="49"/>
      <c r="AK214" s="49"/>
      <c r="AL214" s="49"/>
      <c r="AM214" s="49"/>
      <c r="AN214" s="49"/>
      <c r="AO214" s="49"/>
      <c r="AP214" s="49"/>
      <c r="AQ214" s="49"/>
      <c r="AR214" s="49"/>
      <c r="AS214" s="49"/>
    </row>
    <row r="215" spans="1:45" x14ac:dyDescent="0.35">
      <c r="A215" s="49"/>
      <c r="B215" s="49"/>
      <c r="C215" s="49"/>
      <c r="D215" s="49"/>
      <c r="E215" s="49"/>
      <c r="F215" s="49"/>
      <c r="G215" s="49"/>
      <c r="H215" s="49"/>
      <c r="I215" s="49"/>
      <c r="J215" s="49"/>
      <c r="K215" s="49"/>
      <c r="L215" s="49"/>
      <c r="M215" s="49"/>
      <c r="N215" s="49"/>
      <c r="O215" s="49"/>
      <c r="P215" s="49"/>
      <c r="Q215" s="49"/>
      <c r="R215" s="49"/>
      <c r="S215" s="49"/>
      <c r="T215" s="49"/>
      <c r="U215" s="49"/>
      <c r="V215" s="49"/>
      <c r="W215" s="49"/>
      <c r="X215" s="49"/>
      <c r="Y215" s="49"/>
      <c r="Z215" s="49"/>
      <c r="AA215" s="49"/>
      <c r="AB215" s="49"/>
      <c r="AC215" s="49"/>
      <c r="AD215" s="49"/>
      <c r="AE215" s="49"/>
      <c r="AF215" s="49"/>
      <c r="AG215" s="49"/>
      <c r="AH215" s="49"/>
      <c r="AI215" s="49"/>
      <c r="AJ215" s="49"/>
      <c r="AK215" s="49"/>
      <c r="AL215" s="49"/>
      <c r="AM215" s="49"/>
      <c r="AN215" s="49"/>
      <c r="AO215" s="49"/>
      <c r="AP215" s="49"/>
      <c r="AQ215" s="49"/>
      <c r="AR215" s="49"/>
      <c r="AS215" s="49"/>
    </row>
    <row r="216" spans="1:45" x14ac:dyDescent="0.35">
      <c r="A216" s="49"/>
      <c r="B216" s="49"/>
      <c r="C216" s="49"/>
      <c r="D216" s="49"/>
      <c r="E216" s="49"/>
      <c r="F216" s="49"/>
      <c r="G216" s="49"/>
      <c r="H216" s="49"/>
      <c r="I216" s="49"/>
      <c r="J216" s="49"/>
      <c r="K216" s="49"/>
      <c r="L216" s="49"/>
      <c r="M216" s="49"/>
      <c r="N216" s="49"/>
      <c r="O216" s="49"/>
      <c r="P216" s="49"/>
      <c r="Q216" s="49"/>
      <c r="R216" s="49"/>
      <c r="S216" s="49"/>
      <c r="T216" s="49"/>
      <c r="U216" s="49"/>
      <c r="V216" s="49"/>
      <c r="W216" s="49"/>
      <c r="X216" s="49"/>
      <c r="Y216" s="49"/>
      <c r="Z216" s="49"/>
      <c r="AA216" s="49"/>
      <c r="AB216" s="49"/>
      <c r="AC216" s="49"/>
      <c r="AD216" s="49"/>
      <c r="AE216" s="49"/>
      <c r="AF216" s="49"/>
      <c r="AG216" s="49"/>
      <c r="AH216" s="49"/>
      <c r="AI216" s="49"/>
      <c r="AJ216" s="49"/>
      <c r="AK216" s="49"/>
      <c r="AL216" s="49"/>
      <c r="AM216" s="49"/>
      <c r="AN216" s="49"/>
      <c r="AO216" s="49"/>
      <c r="AP216" s="49"/>
      <c r="AQ216" s="49"/>
      <c r="AR216" s="49"/>
      <c r="AS216" s="49"/>
    </row>
    <row r="217" spans="1:45" x14ac:dyDescent="0.35">
      <c r="A217" s="49"/>
      <c r="B217" s="49"/>
      <c r="C217" s="49"/>
      <c r="D217" s="49"/>
      <c r="E217" s="49"/>
      <c r="F217" s="49"/>
      <c r="G217" s="49"/>
      <c r="H217" s="49"/>
      <c r="I217" s="49"/>
      <c r="J217" s="49"/>
      <c r="K217" s="49"/>
      <c r="L217" s="49"/>
      <c r="M217" s="49"/>
      <c r="N217" s="49"/>
      <c r="O217" s="49"/>
      <c r="P217" s="49"/>
      <c r="Q217" s="49"/>
      <c r="R217" s="49"/>
      <c r="S217" s="49"/>
      <c r="T217" s="49"/>
      <c r="U217" s="49"/>
      <c r="V217" s="49"/>
      <c r="W217" s="49"/>
      <c r="X217" s="49"/>
      <c r="Y217" s="49"/>
      <c r="Z217" s="49"/>
      <c r="AA217" s="49"/>
      <c r="AB217" s="49"/>
      <c r="AC217" s="49"/>
      <c r="AD217" s="49"/>
      <c r="AE217" s="49"/>
      <c r="AF217" s="49"/>
      <c r="AG217" s="49"/>
      <c r="AH217" s="49"/>
      <c r="AI217" s="49"/>
      <c r="AJ217" s="49"/>
      <c r="AK217" s="49"/>
      <c r="AL217" s="49"/>
      <c r="AM217" s="49"/>
      <c r="AN217" s="49"/>
      <c r="AO217" s="49"/>
      <c r="AP217" s="49"/>
      <c r="AQ217" s="49"/>
      <c r="AR217" s="49"/>
      <c r="AS217" s="49"/>
    </row>
    <row r="218" spans="1:45" x14ac:dyDescent="0.35">
      <c r="A218" s="49"/>
      <c r="B218" s="49"/>
      <c r="C218" s="49"/>
      <c r="D218" s="49"/>
      <c r="E218" s="49"/>
      <c r="F218" s="49"/>
      <c r="G218" s="49"/>
      <c r="H218" s="49"/>
      <c r="I218" s="49"/>
      <c r="J218" s="49"/>
      <c r="K218" s="49"/>
      <c r="L218" s="49"/>
      <c r="M218" s="49"/>
      <c r="N218" s="49"/>
      <c r="O218" s="49"/>
      <c r="P218" s="49"/>
      <c r="Q218" s="49"/>
      <c r="R218" s="49"/>
      <c r="S218" s="49"/>
      <c r="T218" s="49"/>
      <c r="U218" s="49"/>
      <c r="V218" s="49"/>
      <c r="W218" s="49"/>
      <c r="X218" s="49"/>
      <c r="Y218" s="49"/>
      <c r="Z218" s="49"/>
      <c r="AA218" s="49"/>
      <c r="AB218" s="49"/>
      <c r="AC218" s="49"/>
      <c r="AD218" s="49"/>
      <c r="AE218" s="49"/>
      <c r="AF218" s="49"/>
      <c r="AG218" s="49"/>
      <c r="AH218" s="49"/>
      <c r="AI218" s="49"/>
      <c r="AJ218" s="49"/>
      <c r="AK218" s="49"/>
      <c r="AL218" s="49"/>
      <c r="AM218" s="49"/>
      <c r="AN218" s="49"/>
      <c r="AO218" s="49"/>
      <c r="AP218" s="49"/>
      <c r="AQ218" s="49"/>
      <c r="AR218" s="49"/>
      <c r="AS218" s="49"/>
    </row>
    <row r="219" spans="1:45" x14ac:dyDescent="0.35">
      <c r="A219" s="49"/>
      <c r="B219" s="49"/>
      <c r="C219" s="49"/>
      <c r="D219" s="49"/>
      <c r="E219" s="49"/>
      <c r="F219" s="49"/>
      <c r="G219" s="49"/>
      <c r="H219" s="49"/>
      <c r="I219" s="49"/>
      <c r="J219" s="49"/>
      <c r="K219" s="49"/>
      <c r="L219" s="49"/>
      <c r="M219" s="49"/>
      <c r="N219" s="49"/>
      <c r="O219" s="49"/>
      <c r="P219" s="49"/>
      <c r="Q219" s="49"/>
      <c r="R219" s="49"/>
      <c r="S219" s="49"/>
      <c r="T219" s="49"/>
      <c r="U219" s="49"/>
      <c r="V219" s="49"/>
      <c r="W219" s="49"/>
      <c r="X219" s="49"/>
      <c r="Y219" s="49"/>
      <c r="Z219" s="49"/>
      <c r="AA219" s="49"/>
      <c r="AB219" s="49"/>
      <c r="AC219" s="49"/>
      <c r="AD219" s="49"/>
      <c r="AE219" s="49"/>
      <c r="AF219" s="49"/>
      <c r="AG219" s="49"/>
      <c r="AH219" s="49"/>
      <c r="AI219" s="49"/>
      <c r="AJ219" s="49"/>
      <c r="AK219" s="49"/>
      <c r="AL219" s="49"/>
      <c r="AM219" s="49"/>
      <c r="AN219" s="49"/>
      <c r="AO219" s="49"/>
      <c r="AP219" s="49"/>
      <c r="AQ219" s="49"/>
      <c r="AR219" s="49"/>
      <c r="AS219" s="49"/>
    </row>
    <row r="220" spans="1:45" x14ac:dyDescent="0.35">
      <c r="A220" s="49"/>
      <c r="B220" s="49"/>
      <c r="C220" s="49"/>
      <c r="D220" s="49"/>
      <c r="E220" s="49"/>
      <c r="F220" s="49"/>
      <c r="G220" s="49"/>
      <c r="H220" s="49"/>
      <c r="I220" s="49"/>
      <c r="J220" s="49"/>
      <c r="K220" s="49"/>
      <c r="L220" s="49"/>
      <c r="M220" s="49"/>
      <c r="N220" s="49"/>
      <c r="O220" s="49"/>
      <c r="P220" s="49"/>
      <c r="Q220" s="49"/>
      <c r="R220" s="49"/>
      <c r="S220" s="49"/>
      <c r="T220" s="49"/>
      <c r="U220" s="49"/>
      <c r="V220" s="49"/>
      <c r="W220" s="49"/>
      <c r="X220" s="49"/>
      <c r="Y220" s="49"/>
      <c r="Z220" s="49"/>
      <c r="AA220" s="49"/>
      <c r="AB220" s="49"/>
      <c r="AC220" s="49"/>
      <c r="AD220" s="49"/>
      <c r="AE220" s="49"/>
      <c r="AF220" s="49"/>
      <c r="AG220" s="49"/>
      <c r="AH220" s="49"/>
      <c r="AI220" s="49"/>
      <c r="AJ220" s="49"/>
      <c r="AK220" s="49"/>
      <c r="AL220" s="49"/>
      <c r="AM220" s="49"/>
      <c r="AN220" s="49"/>
      <c r="AO220" s="49"/>
      <c r="AP220" s="49"/>
      <c r="AQ220" s="49"/>
      <c r="AR220" s="49"/>
      <c r="AS220" s="49"/>
    </row>
    <row r="221" spans="1:45" x14ac:dyDescent="0.35">
      <c r="A221" s="49"/>
      <c r="B221" s="49"/>
      <c r="C221" s="49"/>
      <c r="D221" s="49"/>
      <c r="E221" s="49"/>
      <c r="F221" s="49"/>
      <c r="G221" s="49"/>
      <c r="H221" s="49"/>
      <c r="I221" s="49"/>
      <c r="J221" s="49"/>
      <c r="K221" s="49"/>
      <c r="L221" s="49"/>
      <c r="M221" s="49"/>
      <c r="N221" s="49"/>
      <c r="O221" s="49"/>
      <c r="P221" s="49"/>
      <c r="Q221" s="49"/>
      <c r="R221" s="49"/>
      <c r="S221" s="49"/>
      <c r="T221" s="49"/>
      <c r="U221" s="49"/>
      <c r="V221" s="49"/>
      <c r="W221" s="49"/>
      <c r="X221" s="49"/>
      <c r="Y221" s="49"/>
      <c r="Z221" s="49"/>
      <c r="AA221" s="49"/>
      <c r="AB221" s="49"/>
      <c r="AC221" s="49"/>
      <c r="AD221" s="49"/>
      <c r="AE221" s="49"/>
      <c r="AF221" s="49"/>
      <c r="AG221" s="49"/>
      <c r="AH221" s="49"/>
      <c r="AI221" s="49"/>
      <c r="AJ221" s="49"/>
      <c r="AK221" s="49"/>
      <c r="AL221" s="49"/>
      <c r="AM221" s="49"/>
      <c r="AN221" s="49"/>
      <c r="AO221" s="49"/>
      <c r="AP221" s="49"/>
      <c r="AQ221" s="49"/>
      <c r="AR221" s="49"/>
      <c r="AS221" s="49"/>
    </row>
    <row r="222" spans="1:45" x14ac:dyDescent="0.35">
      <c r="A222" s="49"/>
      <c r="B222" s="49"/>
      <c r="C222" s="49"/>
      <c r="D222" s="49"/>
      <c r="E222" s="49"/>
      <c r="F222" s="49"/>
      <c r="G222" s="49"/>
      <c r="H222" s="49"/>
      <c r="I222" s="49"/>
      <c r="J222" s="49"/>
      <c r="K222" s="49"/>
      <c r="L222" s="49"/>
      <c r="M222" s="49"/>
      <c r="N222" s="49"/>
      <c r="O222" s="49"/>
      <c r="P222" s="49"/>
      <c r="Q222" s="49"/>
      <c r="R222" s="49"/>
      <c r="S222" s="49"/>
      <c r="T222" s="49"/>
      <c r="U222" s="49"/>
      <c r="V222" s="49"/>
      <c r="W222" s="49"/>
      <c r="X222" s="49"/>
      <c r="Y222" s="49"/>
      <c r="Z222" s="49"/>
      <c r="AA222" s="49"/>
      <c r="AB222" s="49"/>
      <c r="AC222" s="49"/>
      <c r="AD222" s="49"/>
      <c r="AE222" s="49"/>
      <c r="AF222" s="49"/>
      <c r="AG222" s="49"/>
      <c r="AH222" s="49"/>
      <c r="AI222" s="49"/>
      <c r="AJ222" s="49"/>
      <c r="AK222" s="49"/>
      <c r="AL222" s="49"/>
      <c r="AM222" s="49"/>
      <c r="AN222" s="49"/>
      <c r="AO222" s="49"/>
      <c r="AP222" s="49"/>
      <c r="AQ222" s="49"/>
      <c r="AR222" s="49"/>
      <c r="AS222" s="49"/>
    </row>
    <row r="223" spans="1:45" x14ac:dyDescent="0.35">
      <c r="A223" s="49"/>
      <c r="B223" s="49"/>
      <c r="C223" s="49"/>
      <c r="D223" s="49"/>
      <c r="E223" s="49"/>
      <c r="F223" s="49"/>
      <c r="G223" s="49"/>
      <c r="H223" s="49"/>
      <c r="I223" s="49"/>
      <c r="J223" s="49"/>
      <c r="K223" s="49"/>
      <c r="L223" s="49"/>
      <c r="M223" s="49"/>
      <c r="N223" s="49"/>
      <c r="O223" s="49"/>
      <c r="P223" s="49"/>
      <c r="Q223" s="49"/>
      <c r="R223" s="49"/>
      <c r="S223" s="49"/>
      <c r="T223" s="49"/>
      <c r="U223" s="49"/>
      <c r="V223" s="49"/>
      <c r="W223" s="49"/>
      <c r="X223" s="49"/>
      <c r="Y223" s="49"/>
      <c r="Z223" s="49"/>
      <c r="AA223" s="49"/>
      <c r="AB223" s="49"/>
      <c r="AC223" s="49"/>
      <c r="AD223" s="49"/>
      <c r="AE223" s="49"/>
      <c r="AF223" s="49"/>
      <c r="AG223" s="49"/>
      <c r="AH223" s="49"/>
      <c r="AI223" s="49"/>
      <c r="AJ223" s="49"/>
      <c r="AK223" s="49"/>
      <c r="AL223" s="49"/>
      <c r="AM223" s="49"/>
      <c r="AN223" s="49"/>
      <c r="AO223" s="49"/>
      <c r="AP223" s="49"/>
      <c r="AQ223" s="49"/>
      <c r="AR223" s="49"/>
      <c r="AS223" s="49"/>
    </row>
    <row r="224" spans="1:45" x14ac:dyDescent="0.35">
      <c r="A224" s="49"/>
      <c r="B224" s="49"/>
      <c r="C224" s="49"/>
      <c r="D224" s="49"/>
      <c r="E224" s="49"/>
      <c r="F224" s="49"/>
      <c r="G224" s="49"/>
      <c r="H224" s="49"/>
      <c r="I224" s="49"/>
      <c r="J224" s="49"/>
      <c r="K224" s="49"/>
      <c r="L224" s="49"/>
      <c r="M224" s="49"/>
      <c r="N224" s="49"/>
      <c r="O224" s="49"/>
      <c r="P224" s="49"/>
      <c r="Q224" s="49"/>
      <c r="R224" s="49"/>
      <c r="S224" s="49"/>
      <c r="T224" s="49"/>
      <c r="U224" s="49"/>
      <c r="V224" s="49"/>
      <c r="W224" s="49"/>
      <c r="X224" s="49"/>
      <c r="Y224" s="49"/>
      <c r="Z224" s="49"/>
      <c r="AA224" s="49"/>
      <c r="AB224" s="49"/>
      <c r="AC224" s="49"/>
      <c r="AD224" s="49"/>
      <c r="AE224" s="49"/>
      <c r="AF224" s="49"/>
      <c r="AG224" s="49"/>
      <c r="AH224" s="49"/>
      <c r="AI224" s="49"/>
      <c r="AJ224" s="49"/>
      <c r="AK224" s="49"/>
      <c r="AL224" s="49"/>
      <c r="AM224" s="49"/>
      <c r="AN224" s="49"/>
      <c r="AO224" s="49"/>
      <c r="AP224" s="49"/>
      <c r="AQ224" s="49"/>
      <c r="AR224" s="49"/>
      <c r="AS224" s="49"/>
    </row>
    <row r="225" spans="1:45" x14ac:dyDescent="0.35">
      <c r="A225" s="49"/>
      <c r="B225" s="49"/>
      <c r="C225" s="49"/>
      <c r="D225" s="49"/>
      <c r="E225" s="49"/>
      <c r="F225" s="49"/>
      <c r="G225" s="49"/>
      <c r="H225" s="49"/>
      <c r="I225" s="49"/>
      <c r="J225" s="49"/>
      <c r="K225" s="49"/>
      <c r="L225" s="49"/>
      <c r="M225" s="49"/>
      <c r="N225" s="49"/>
      <c r="O225" s="49"/>
      <c r="P225" s="49"/>
      <c r="Q225" s="49"/>
      <c r="R225" s="49"/>
      <c r="S225" s="49"/>
      <c r="T225" s="49"/>
      <c r="U225" s="49"/>
      <c r="V225" s="49"/>
      <c r="W225" s="49"/>
      <c r="X225" s="49"/>
      <c r="Y225" s="49"/>
      <c r="Z225" s="49"/>
      <c r="AA225" s="49"/>
      <c r="AB225" s="49"/>
      <c r="AC225" s="49"/>
      <c r="AD225" s="49"/>
      <c r="AE225" s="49"/>
      <c r="AF225" s="49"/>
      <c r="AG225" s="49"/>
      <c r="AH225" s="49"/>
      <c r="AI225" s="49"/>
      <c r="AJ225" s="49"/>
      <c r="AK225" s="49"/>
      <c r="AL225" s="49"/>
      <c r="AM225" s="49"/>
      <c r="AN225" s="49"/>
      <c r="AO225" s="49"/>
      <c r="AP225" s="49"/>
      <c r="AQ225" s="49"/>
      <c r="AR225" s="49"/>
      <c r="AS225" s="49"/>
    </row>
    <row r="226" spans="1:45" x14ac:dyDescent="0.35">
      <c r="A226" s="49"/>
      <c r="B226" s="49"/>
      <c r="C226" s="49"/>
      <c r="D226" s="49"/>
      <c r="E226" s="49"/>
      <c r="F226" s="49"/>
      <c r="G226" s="49"/>
      <c r="H226" s="49"/>
      <c r="I226" s="49"/>
      <c r="J226" s="49"/>
      <c r="K226" s="49"/>
      <c r="L226" s="49"/>
      <c r="M226" s="49"/>
      <c r="N226" s="49"/>
      <c r="O226" s="49"/>
      <c r="P226" s="49"/>
      <c r="Q226" s="49"/>
      <c r="R226" s="49"/>
      <c r="S226" s="49"/>
      <c r="T226" s="49"/>
      <c r="U226" s="49"/>
      <c r="V226" s="49"/>
      <c r="W226" s="49"/>
      <c r="X226" s="49"/>
      <c r="Y226" s="49"/>
      <c r="Z226" s="49"/>
      <c r="AA226" s="49"/>
      <c r="AB226" s="49"/>
      <c r="AC226" s="49"/>
      <c r="AD226" s="49"/>
      <c r="AE226" s="49"/>
      <c r="AF226" s="49"/>
      <c r="AG226" s="49"/>
      <c r="AH226" s="49"/>
      <c r="AI226" s="49"/>
      <c r="AJ226" s="49"/>
      <c r="AK226" s="49"/>
      <c r="AL226" s="49"/>
      <c r="AM226" s="49"/>
      <c r="AN226" s="49"/>
      <c r="AO226" s="49"/>
      <c r="AP226" s="49"/>
      <c r="AQ226" s="49"/>
      <c r="AR226" s="49"/>
      <c r="AS226" s="49"/>
    </row>
    <row r="227" spans="1:45" x14ac:dyDescent="0.35">
      <c r="A227" s="49"/>
      <c r="B227" s="49"/>
      <c r="C227" s="49"/>
      <c r="D227" s="49"/>
      <c r="E227" s="49"/>
      <c r="F227" s="49"/>
      <c r="G227" s="49"/>
      <c r="H227" s="49"/>
      <c r="I227" s="49"/>
      <c r="J227" s="49"/>
      <c r="K227" s="49"/>
      <c r="L227" s="49"/>
      <c r="M227" s="49"/>
      <c r="N227" s="49"/>
      <c r="O227" s="49"/>
      <c r="P227" s="49"/>
      <c r="Q227" s="49"/>
      <c r="R227" s="49"/>
      <c r="S227" s="49"/>
      <c r="T227" s="49"/>
      <c r="U227" s="49"/>
      <c r="V227" s="49"/>
      <c r="W227" s="49"/>
      <c r="X227" s="49"/>
      <c r="Y227" s="49"/>
      <c r="Z227" s="49"/>
      <c r="AA227" s="49"/>
      <c r="AB227" s="49"/>
      <c r="AC227" s="49"/>
      <c r="AD227" s="49"/>
      <c r="AE227" s="49"/>
      <c r="AF227" s="49"/>
      <c r="AG227" s="49"/>
      <c r="AH227" s="49"/>
      <c r="AI227" s="49"/>
      <c r="AJ227" s="49"/>
      <c r="AK227" s="49"/>
      <c r="AL227" s="49"/>
      <c r="AM227" s="49"/>
      <c r="AN227" s="49"/>
      <c r="AO227" s="49"/>
      <c r="AP227" s="49"/>
      <c r="AQ227" s="49"/>
      <c r="AR227" s="49"/>
      <c r="AS227" s="49"/>
    </row>
    <row r="228" spans="1:45" x14ac:dyDescent="0.35">
      <c r="A228" s="49"/>
      <c r="B228" s="49"/>
      <c r="C228" s="49"/>
      <c r="D228" s="49"/>
      <c r="E228" s="49"/>
      <c r="F228" s="49"/>
      <c r="G228" s="49"/>
      <c r="H228" s="49"/>
      <c r="I228" s="49"/>
      <c r="J228" s="49"/>
      <c r="K228" s="49"/>
      <c r="L228" s="49"/>
      <c r="M228" s="49"/>
      <c r="N228" s="49"/>
      <c r="O228" s="49"/>
      <c r="P228" s="49"/>
      <c r="Q228" s="49"/>
      <c r="R228" s="49"/>
      <c r="S228" s="49"/>
      <c r="T228" s="49"/>
      <c r="U228" s="49"/>
      <c r="V228" s="49"/>
      <c r="W228" s="49"/>
      <c r="X228" s="49"/>
      <c r="Y228" s="49"/>
      <c r="Z228" s="49"/>
      <c r="AA228" s="49"/>
      <c r="AB228" s="49"/>
      <c r="AC228" s="49"/>
      <c r="AD228" s="49"/>
      <c r="AE228" s="49"/>
      <c r="AF228" s="49"/>
      <c r="AG228" s="49"/>
      <c r="AH228" s="49"/>
      <c r="AI228" s="49"/>
      <c r="AJ228" s="49"/>
      <c r="AK228" s="49"/>
      <c r="AL228" s="49"/>
      <c r="AM228" s="49"/>
      <c r="AN228" s="49"/>
      <c r="AO228" s="49"/>
      <c r="AP228" s="49"/>
      <c r="AQ228" s="49"/>
      <c r="AR228" s="49"/>
      <c r="AS228" s="49"/>
    </row>
    <row r="229" spans="1:45" x14ac:dyDescent="0.35">
      <c r="A229" s="49"/>
      <c r="B229" s="49"/>
      <c r="C229" s="49"/>
      <c r="D229" s="49"/>
      <c r="E229" s="49"/>
      <c r="F229" s="49"/>
      <c r="G229" s="49"/>
      <c r="H229" s="49"/>
      <c r="I229" s="49"/>
      <c r="J229" s="49"/>
      <c r="K229" s="49"/>
      <c r="L229" s="49"/>
      <c r="M229" s="49"/>
      <c r="N229" s="49"/>
      <c r="O229" s="49"/>
      <c r="P229" s="49"/>
      <c r="Q229" s="49"/>
      <c r="R229" s="49"/>
      <c r="S229" s="49"/>
      <c r="T229" s="49"/>
      <c r="U229" s="49"/>
      <c r="V229" s="49"/>
      <c r="W229" s="49"/>
      <c r="X229" s="49"/>
      <c r="Y229" s="49"/>
      <c r="Z229" s="49"/>
      <c r="AA229" s="49"/>
      <c r="AB229" s="49"/>
      <c r="AC229" s="49"/>
      <c r="AD229" s="49"/>
      <c r="AE229" s="49"/>
      <c r="AF229" s="49"/>
      <c r="AG229" s="49"/>
      <c r="AH229" s="49"/>
      <c r="AI229" s="49"/>
      <c r="AJ229" s="49"/>
      <c r="AK229" s="49"/>
      <c r="AL229" s="49"/>
      <c r="AM229" s="49"/>
      <c r="AN229" s="49"/>
      <c r="AO229" s="49"/>
      <c r="AP229" s="49"/>
      <c r="AQ229" s="49"/>
      <c r="AR229" s="49"/>
      <c r="AS229" s="49"/>
    </row>
    <row r="230" spans="1:45" x14ac:dyDescent="0.35">
      <c r="A230" s="49"/>
      <c r="B230" s="49"/>
      <c r="C230" s="49"/>
      <c r="D230" s="49"/>
      <c r="E230" s="49"/>
      <c r="F230" s="49"/>
      <c r="G230" s="49"/>
      <c r="H230" s="49"/>
      <c r="I230" s="49"/>
      <c r="J230" s="49"/>
      <c r="K230" s="49"/>
      <c r="L230" s="49"/>
      <c r="M230" s="49"/>
      <c r="N230" s="49"/>
      <c r="O230" s="49"/>
      <c r="P230" s="49"/>
      <c r="Q230" s="49"/>
      <c r="R230" s="49"/>
      <c r="S230" s="49"/>
      <c r="T230" s="49"/>
      <c r="U230" s="49"/>
      <c r="V230" s="49"/>
      <c r="W230" s="49"/>
      <c r="X230" s="49"/>
      <c r="Y230" s="49"/>
      <c r="Z230" s="49"/>
      <c r="AA230" s="49"/>
      <c r="AB230" s="49"/>
      <c r="AC230" s="49"/>
      <c r="AD230" s="49"/>
      <c r="AE230" s="49"/>
      <c r="AF230" s="49"/>
      <c r="AG230" s="49"/>
      <c r="AH230" s="49"/>
      <c r="AI230" s="49"/>
      <c r="AJ230" s="49"/>
      <c r="AK230" s="49"/>
      <c r="AL230" s="49"/>
      <c r="AM230" s="49"/>
      <c r="AN230" s="49"/>
      <c r="AO230" s="49"/>
      <c r="AP230" s="49"/>
      <c r="AQ230" s="49"/>
      <c r="AR230" s="49"/>
      <c r="AS230" s="49"/>
    </row>
    <row r="231" spans="1:45" x14ac:dyDescent="0.35">
      <c r="A231" s="49"/>
      <c r="B231" s="49"/>
      <c r="C231" s="49"/>
      <c r="D231" s="49"/>
      <c r="E231" s="49"/>
      <c r="F231" s="49"/>
      <c r="G231" s="49"/>
      <c r="H231" s="49"/>
      <c r="I231" s="49"/>
      <c r="J231" s="49"/>
      <c r="K231" s="49"/>
      <c r="L231" s="49"/>
      <c r="M231" s="49"/>
      <c r="N231" s="49"/>
      <c r="O231" s="49"/>
      <c r="P231" s="49"/>
      <c r="Q231" s="49"/>
      <c r="R231" s="49"/>
      <c r="S231" s="49"/>
      <c r="T231" s="49"/>
      <c r="U231" s="49"/>
      <c r="V231" s="49"/>
      <c r="W231" s="49"/>
      <c r="X231" s="49"/>
      <c r="Y231" s="49"/>
      <c r="Z231" s="49"/>
      <c r="AA231" s="49"/>
      <c r="AB231" s="49"/>
      <c r="AC231" s="49"/>
      <c r="AD231" s="49"/>
      <c r="AE231" s="49"/>
      <c r="AF231" s="49"/>
      <c r="AG231" s="49"/>
      <c r="AH231" s="49"/>
      <c r="AI231" s="49"/>
      <c r="AJ231" s="49"/>
      <c r="AK231" s="49"/>
      <c r="AL231" s="49"/>
      <c r="AM231" s="49"/>
      <c r="AN231" s="49"/>
      <c r="AO231" s="49"/>
      <c r="AP231" s="49"/>
      <c r="AQ231" s="49"/>
      <c r="AR231" s="49"/>
      <c r="AS231" s="49"/>
    </row>
    <row r="232" spans="1:45" x14ac:dyDescent="0.35">
      <c r="A232" s="49"/>
      <c r="B232" s="49"/>
      <c r="C232" s="49"/>
      <c r="D232" s="49"/>
      <c r="E232" s="49"/>
      <c r="F232" s="49"/>
      <c r="G232" s="49"/>
      <c r="H232" s="49"/>
      <c r="I232" s="49"/>
      <c r="J232" s="49"/>
      <c r="K232" s="49"/>
      <c r="L232" s="49"/>
      <c r="M232" s="49"/>
      <c r="N232" s="49"/>
      <c r="O232" s="49"/>
      <c r="P232" s="49"/>
      <c r="Q232" s="49"/>
      <c r="R232" s="49"/>
      <c r="S232" s="49"/>
      <c r="T232" s="49"/>
      <c r="U232" s="49"/>
      <c r="V232" s="49"/>
      <c r="W232" s="49"/>
      <c r="X232" s="49"/>
      <c r="Y232" s="49"/>
      <c r="Z232" s="49"/>
      <c r="AA232" s="49"/>
      <c r="AB232" s="49"/>
      <c r="AC232" s="49"/>
      <c r="AD232" s="49"/>
      <c r="AE232" s="49"/>
      <c r="AF232" s="49"/>
      <c r="AG232" s="49"/>
      <c r="AH232" s="49"/>
      <c r="AI232" s="49"/>
      <c r="AJ232" s="49"/>
      <c r="AK232" s="49"/>
      <c r="AL232" s="49"/>
      <c r="AM232" s="49"/>
      <c r="AN232" s="49"/>
      <c r="AO232" s="49"/>
      <c r="AP232" s="49"/>
      <c r="AQ232" s="49"/>
      <c r="AR232" s="49"/>
      <c r="AS232" s="49"/>
    </row>
    <row r="233" spans="1:45" x14ac:dyDescent="0.35">
      <c r="A233" s="49"/>
      <c r="B233" s="49"/>
      <c r="C233" s="49"/>
      <c r="D233" s="49"/>
      <c r="E233" s="49"/>
      <c r="F233" s="49"/>
      <c r="G233" s="49"/>
      <c r="H233" s="49"/>
      <c r="I233" s="49"/>
      <c r="J233" s="49"/>
      <c r="K233" s="49"/>
      <c r="L233" s="49"/>
      <c r="M233" s="49"/>
      <c r="N233" s="49"/>
      <c r="O233" s="49"/>
      <c r="P233" s="49"/>
      <c r="Q233" s="49"/>
      <c r="R233" s="49"/>
      <c r="S233" s="49"/>
      <c r="T233" s="49"/>
      <c r="U233" s="49"/>
      <c r="V233" s="49"/>
      <c r="W233" s="49"/>
      <c r="X233" s="49"/>
      <c r="Y233" s="49"/>
      <c r="Z233" s="49"/>
      <c r="AA233" s="49"/>
      <c r="AB233" s="49"/>
      <c r="AC233" s="49"/>
      <c r="AD233" s="49"/>
      <c r="AE233" s="49"/>
      <c r="AF233" s="49"/>
      <c r="AG233" s="49"/>
      <c r="AH233" s="49"/>
      <c r="AI233" s="49"/>
      <c r="AJ233" s="49"/>
      <c r="AK233" s="49"/>
      <c r="AL233" s="49"/>
      <c r="AM233" s="49"/>
      <c r="AN233" s="49"/>
      <c r="AO233" s="49"/>
      <c r="AP233" s="49"/>
      <c r="AQ233" s="49"/>
      <c r="AR233" s="49"/>
      <c r="AS233" s="49"/>
    </row>
    <row r="234" spans="1:45" x14ac:dyDescent="0.35">
      <c r="A234" s="49"/>
      <c r="B234" s="49"/>
      <c r="C234" s="49"/>
      <c r="D234" s="49"/>
      <c r="E234" s="49"/>
      <c r="F234" s="49"/>
      <c r="G234" s="49"/>
      <c r="H234" s="49"/>
      <c r="I234" s="49"/>
      <c r="J234" s="49"/>
      <c r="K234" s="49"/>
      <c r="L234" s="49"/>
      <c r="M234" s="49"/>
      <c r="N234" s="49"/>
      <c r="O234" s="49"/>
      <c r="P234" s="49"/>
      <c r="Q234" s="49"/>
      <c r="R234" s="49"/>
      <c r="S234" s="49"/>
      <c r="T234" s="49"/>
      <c r="U234" s="49"/>
      <c r="V234" s="49"/>
      <c r="W234" s="49"/>
      <c r="X234" s="49"/>
      <c r="Y234" s="49"/>
      <c r="Z234" s="49"/>
      <c r="AA234" s="49"/>
      <c r="AB234" s="49"/>
      <c r="AC234" s="49"/>
      <c r="AD234" s="49"/>
      <c r="AE234" s="49"/>
      <c r="AF234" s="49"/>
      <c r="AG234" s="49"/>
      <c r="AH234" s="49"/>
      <c r="AI234" s="49"/>
      <c r="AJ234" s="49"/>
      <c r="AK234" s="49"/>
      <c r="AL234" s="49"/>
      <c r="AM234" s="49"/>
      <c r="AN234" s="49"/>
      <c r="AO234" s="49"/>
      <c r="AP234" s="49"/>
      <c r="AQ234" s="49"/>
      <c r="AR234" s="49"/>
      <c r="AS234" s="49"/>
    </row>
    <row r="235" spans="1:45" x14ac:dyDescent="0.35">
      <c r="A235" s="49"/>
      <c r="B235" s="49"/>
      <c r="C235" s="49"/>
      <c r="D235" s="49"/>
      <c r="E235" s="49"/>
      <c r="F235" s="49"/>
      <c r="G235" s="49"/>
      <c r="H235" s="49"/>
      <c r="I235" s="49"/>
      <c r="J235" s="49"/>
      <c r="K235" s="49"/>
      <c r="L235" s="49"/>
      <c r="M235" s="49"/>
      <c r="N235" s="49"/>
      <c r="O235" s="49"/>
      <c r="P235" s="49"/>
      <c r="Q235" s="49"/>
      <c r="R235" s="49"/>
      <c r="S235" s="49"/>
      <c r="T235" s="49"/>
      <c r="U235" s="49"/>
      <c r="V235" s="49"/>
      <c r="W235" s="49"/>
      <c r="X235" s="49"/>
      <c r="Y235" s="49"/>
      <c r="Z235" s="49"/>
      <c r="AA235" s="49"/>
      <c r="AB235" s="49"/>
      <c r="AC235" s="49"/>
      <c r="AD235" s="49"/>
      <c r="AE235" s="49"/>
      <c r="AF235" s="49"/>
      <c r="AG235" s="49"/>
      <c r="AH235" s="49"/>
      <c r="AI235" s="49"/>
      <c r="AJ235" s="49"/>
      <c r="AK235" s="49"/>
      <c r="AL235" s="49"/>
      <c r="AM235" s="49"/>
      <c r="AN235" s="49"/>
      <c r="AO235" s="49"/>
      <c r="AP235" s="49"/>
      <c r="AQ235" s="49"/>
      <c r="AR235" s="49"/>
      <c r="AS235" s="49"/>
    </row>
    <row r="236" spans="1:45" x14ac:dyDescent="0.35">
      <c r="A236" s="49"/>
      <c r="B236" s="49"/>
      <c r="C236" s="49"/>
      <c r="D236" s="49"/>
      <c r="E236" s="49"/>
      <c r="F236" s="49"/>
      <c r="G236" s="49"/>
      <c r="H236" s="49"/>
      <c r="I236" s="49"/>
      <c r="J236" s="49"/>
      <c r="K236" s="49"/>
      <c r="L236" s="49"/>
      <c r="M236" s="49"/>
      <c r="N236" s="49"/>
      <c r="O236" s="49"/>
      <c r="P236" s="49"/>
      <c r="Q236" s="49"/>
      <c r="R236" s="49"/>
      <c r="S236" s="49"/>
      <c r="T236" s="49"/>
      <c r="U236" s="49"/>
      <c r="V236" s="49"/>
      <c r="W236" s="49"/>
      <c r="X236" s="49"/>
      <c r="Y236" s="49"/>
      <c r="Z236" s="49"/>
      <c r="AA236" s="49"/>
      <c r="AB236" s="49"/>
      <c r="AC236" s="49"/>
      <c r="AD236" s="49"/>
      <c r="AE236" s="49"/>
      <c r="AF236" s="49"/>
      <c r="AG236" s="49"/>
      <c r="AH236" s="49"/>
      <c r="AI236" s="49"/>
      <c r="AJ236" s="49"/>
      <c r="AK236" s="49"/>
      <c r="AL236" s="49"/>
      <c r="AM236" s="49"/>
      <c r="AN236" s="49"/>
      <c r="AO236" s="49"/>
      <c r="AP236" s="49"/>
      <c r="AQ236" s="49"/>
      <c r="AR236" s="49"/>
      <c r="AS236" s="49"/>
    </row>
  </sheetData>
  <sheetProtection algorithmName="SHA-512" hashValue="q4WBqyk2eTVqa+TeMu0RFSZEi5QuHzYR0pwFcZ0zEb6pDGSQ9Vd11GIlDvmoMHkonwMqdgT1juxBTQAy/auhNQ==" saltValue="RFnNjgAotn+DMcGstzfFOw==" spinCount="100000" sheet="1" objects="1" scenarios="1"/>
  <phoneticPr fontId="1" type="noConversion"/>
  <conditionalFormatting sqref="AC7:AC13">
    <cfRule type="cellIs" dxfId="137" priority="20" operator="lessThan">
      <formula>0</formula>
    </cfRule>
    <cfRule type="cellIs" dxfId="136" priority="21" operator="greaterThan">
      <formula>0</formula>
    </cfRule>
  </conditionalFormatting>
  <conditionalFormatting sqref="AF7:AF13">
    <cfRule type="cellIs" dxfId="135" priority="18" operator="lessThan">
      <formula>0</formula>
    </cfRule>
    <cfRule type="cellIs" dxfId="134" priority="19" operator="greaterThan">
      <formula>0</formula>
    </cfRule>
  </conditionalFormatting>
  <conditionalFormatting sqref="AG20:AG23">
    <cfRule type="cellIs" dxfId="133" priority="16" operator="lessThan">
      <formula>0</formula>
    </cfRule>
    <cfRule type="cellIs" dxfId="132" priority="17" operator="greaterThan">
      <formula>0</formula>
    </cfRule>
  </conditionalFormatting>
  <conditionalFormatting sqref="AJ20:AJ23">
    <cfRule type="cellIs" dxfId="131" priority="14" operator="lessThan">
      <formula>0</formula>
    </cfRule>
    <cfRule type="cellIs" dxfId="130" priority="15" operator="greaterThan">
      <formula>0</formula>
    </cfRule>
  </conditionalFormatting>
  <conditionalFormatting sqref="U28:U31">
    <cfRule type="cellIs" dxfId="129" priority="12" operator="lessThan">
      <formula>0</formula>
    </cfRule>
    <cfRule type="cellIs" dxfId="128" priority="13" operator="greaterThan">
      <formula>0</formula>
    </cfRule>
  </conditionalFormatting>
  <conditionalFormatting sqref="X28:X31">
    <cfRule type="cellIs" dxfId="127" priority="10" operator="lessThan">
      <formula>0</formula>
    </cfRule>
    <cfRule type="cellIs" dxfId="126" priority="11" operator="greaterThan">
      <formula>0</formula>
    </cfRule>
  </conditionalFormatting>
  <conditionalFormatting sqref="L37:L40">
    <cfRule type="cellIs" dxfId="125" priority="8" operator="lessThan">
      <formula>721</formula>
    </cfRule>
    <cfRule type="cellIs" dxfId="124" priority="9" operator="greaterThan">
      <formula>0</formula>
    </cfRule>
  </conditionalFormatting>
  <conditionalFormatting sqref="O37:O40">
    <cfRule type="cellIs" dxfId="123" priority="6" operator="lessThan">
      <formula>0</formula>
    </cfRule>
    <cfRule type="cellIs" dxfId="122" priority="7" operator="greaterThan">
      <formula>0</formula>
    </cfRule>
  </conditionalFormatting>
  <conditionalFormatting sqref="U44:U47">
    <cfRule type="cellIs" dxfId="121" priority="4" operator="lessThan">
      <formula>0</formula>
    </cfRule>
    <cfRule type="cellIs" dxfId="120" priority="5" operator="greaterThan">
      <formula>0</formula>
    </cfRule>
  </conditionalFormatting>
  <conditionalFormatting sqref="X44:X47">
    <cfRule type="cellIs" dxfId="119" priority="2" operator="lessThan">
      <formula>0</formula>
    </cfRule>
    <cfRule type="cellIs" dxfId="118" priority="3" operator="greaterThan">
      <formula>0</formula>
    </cfRule>
  </conditionalFormatting>
  <conditionalFormatting sqref="J53:K54 J57:K58 J61:K62 J65:K65">
    <cfRule type="cellIs" dxfId="117" priority="1" operator="greaterThan">
      <formula>0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4B862A-1C91-40CB-8D72-0E901E3940E0}">
  <sheetPr codeName="Taul13"/>
  <dimension ref="A1:Z187"/>
  <sheetViews>
    <sheetView topLeftCell="A88" zoomScale="85" zoomScaleNormal="85" workbookViewId="0">
      <selection activeCell="R34" sqref="R34"/>
    </sheetView>
  </sheetViews>
  <sheetFormatPr defaultRowHeight="14.5" x14ac:dyDescent="0.35"/>
  <cols>
    <col min="7" max="8" width="8.81640625" bestFit="1" customWidth="1"/>
    <col min="9" max="9" width="8.90625" bestFit="1" customWidth="1"/>
  </cols>
  <sheetData>
    <row r="1" spans="1:26" x14ac:dyDescent="0.35">
      <c r="A1" s="49"/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</row>
    <row r="2" spans="1:26" x14ac:dyDescent="0.35">
      <c r="A2" s="49"/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</row>
    <row r="3" spans="1:26" x14ac:dyDescent="0.35">
      <c r="A3" s="49"/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</row>
    <row r="4" spans="1:26" x14ac:dyDescent="0.35">
      <c r="A4" s="49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</row>
    <row r="5" spans="1:26" ht="15.5" x14ac:dyDescent="0.35">
      <c r="A5" s="49"/>
      <c r="B5" s="49"/>
      <c r="C5" s="49"/>
      <c r="D5" s="49"/>
      <c r="E5" s="49"/>
      <c r="F5" s="49"/>
      <c r="G5" s="49"/>
      <c r="H5" s="49"/>
      <c r="I5" s="49"/>
      <c r="J5" s="62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</row>
    <row r="6" spans="1:26" ht="15.5" x14ac:dyDescent="0.35">
      <c r="A6" s="80" t="s">
        <v>158</v>
      </c>
      <c r="B6" s="80"/>
      <c r="C6" s="49" t="s">
        <v>250</v>
      </c>
      <c r="D6" s="49" t="s">
        <v>160</v>
      </c>
      <c r="E6" s="49" t="s">
        <v>161</v>
      </c>
      <c r="F6" s="49" t="s">
        <v>251</v>
      </c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</row>
    <row r="7" spans="1:26" ht="15.5" x14ac:dyDescent="0.35">
      <c r="A7" s="67" t="s">
        <v>163</v>
      </c>
      <c r="B7" s="61" t="s">
        <v>172</v>
      </c>
      <c r="C7" s="49"/>
      <c r="D7" s="71">
        <v>33.988959999999999</v>
      </c>
      <c r="E7" s="71">
        <v>87.054400000000001</v>
      </c>
      <c r="F7" s="72">
        <v>-53.065439999999995</v>
      </c>
      <c r="G7" s="49"/>
      <c r="H7" s="49"/>
      <c r="I7" s="49"/>
      <c r="J7" s="72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</row>
    <row r="8" spans="1:26" ht="15.5" x14ac:dyDescent="0.35">
      <c r="A8" s="67" t="s">
        <v>170</v>
      </c>
      <c r="B8" s="61" t="s">
        <v>173</v>
      </c>
      <c r="C8" s="49"/>
      <c r="D8" s="71">
        <v>37.983959999999996</v>
      </c>
      <c r="E8" s="71">
        <v>119.01439999999999</v>
      </c>
      <c r="F8" s="72">
        <v>-81.030439999999999</v>
      </c>
      <c r="G8" s="49"/>
      <c r="H8" s="49"/>
      <c r="I8" s="49"/>
      <c r="J8" s="72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49"/>
    </row>
    <row r="9" spans="1:26" ht="15.5" x14ac:dyDescent="0.35">
      <c r="A9" s="67" t="s">
        <v>171</v>
      </c>
      <c r="B9" s="61" t="s">
        <v>174</v>
      </c>
      <c r="C9" s="49"/>
      <c r="D9" s="71">
        <v>42.417960000000001</v>
      </c>
      <c r="E9" s="71">
        <v>186.6944</v>
      </c>
      <c r="F9" s="72">
        <v>-144.27644000000001</v>
      </c>
      <c r="G9" s="49"/>
      <c r="H9" s="49"/>
      <c r="I9" s="49"/>
      <c r="J9" s="72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  <c r="Z9" s="49"/>
    </row>
    <row r="10" spans="1:26" ht="15.5" x14ac:dyDescent="0.35">
      <c r="A10" s="67" t="s">
        <v>177</v>
      </c>
      <c r="B10" s="61" t="s">
        <v>175</v>
      </c>
      <c r="C10" s="49"/>
      <c r="D10" s="71">
        <v>49.633209999999998</v>
      </c>
      <c r="E10" s="71">
        <v>265.27840000000003</v>
      </c>
      <c r="F10" s="72">
        <v>-215.64519000000004</v>
      </c>
      <c r="G10" s="49"/>
      <c r="H10" s="49"/>
      <c r="I10" s="49"/>
      <c r="J10" s="72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</row>
    <row r="11" spans="1:26" ht="15.5" x14ac:dyDescent="0.35">
      <c r="A11" s="67" t="s">
        <v>178</v>
      </c>
      <c r="B11" s="61" t="s">
        <v>176</v>
      </c>
      <c r="C11" s="49"/>
      <c r="D11" s="71">
        <v>57.594209999999997</v>
      </c>
      <c r="E11" s="71">
        <v>347.9984</v>
      </c>
      <c r="F11" s="72">
        <v>-290.40419000000003</v>
      </c>
      <c r="G11" s="49"/>
      <c r="H11" s="49"/>
      <c r="I11" s="49"/>
      <c r="J11" s="72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49"/>
      <c r="Y11" s="49"/>
      <c r="Z11" s="49"/>
    </row>
    <row r="12" spans="1:26" ht="15.5" x14ac:dyDescent="0.35">
      <c r="A12" s="105" t="s">
        <v>181</v>
      </c>
      <c r="B12" s="106" t="s">
        <v>179</v>
      </c>
      <c r="C12" s="49"/>
      <c r="D12" s="71">
        <v>29.584401088</v>
      </c>
      <c r="E12" s="71">
        <v>61.841249280000007</v>
      </c>
      <c r="F12" s="72">
        <v>-32.256848192000007</v>
      </c>
      <c r="G12" s="49"/>
      <c r="H12" s="49"/>
      <c r="I12" s="49"/>
      <c r="J12" s="72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  <c r="Z12" s="49"/>
    </row>
    <row r="13" spans="1:26" ht="15.5" x14ac:dyDescent="0.35">
      <c r="A13" s="73" t="s">
        <v>182</v>
      </c>
      <c r="B13" s="74" t="s">
        <v>180</v>
      </c>
      <c r="C13" s="75"/>
      <c r="D13" s="76">
        <v>119.03816</v>
      </c>
      <c r="E13" s="76">
        <v>0</v>
      </c>
      <c r="F13" s="117">
        <v>119.03816</v>
      </c>
      <c r="G13" s="49"/>
      <c r="H13" s="49"/>
      <c r="I13" s="49"/>
      <c r="J13" s="72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49"/>
    </row>
    <row r="14" spans="1:26" ht="15.5" x14ac:dyDescent="0.35">
      <c r="A14" s="63" t="s">
        <v>199</v>
      </c>
      <c r="B14" s="80"/>
      <c r="C14" s="80" t="s">
        <v>250</v>
      </c>
      <c r="D14" s="49" t="s">
        <v>160</v>
      </c>
      <c r="E14" s="49" t="s">
        <v>161</v>
      </c>
      <c r="F14" s="49" t="s">
        <v>251</v>
      </c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</row>
    <row r="15" spans="1:26" ht="15.5" x14ac:dyDescent="0.35">
      <c r="A15" s="67" t="s">
        <v>184</v>
      </c>
      <c r="B15" s="61" t="s">
        <v>172</v>
      </c>
      <c r="C15" s="80"/>
      <c r="D15" s="71">
        <v>179.57132800000002</v>
      </c>
      <c r="E15" s="71">
        <v>224.78110000000001</v>
      </c>
      <c r="F15" s="71">
        <v>-45.209771999999987</v>
      </c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</row>
    <row r="16" spans="1:26" ht="15.5" x14ac:dyDescent="0.35">
      <c r="A16" s="67" t="s">
        <v>185</v>
      </c>
      <c r="B16" s="61" t="s">
        <v>174</v>
      </c>
      <c r="C16" s="61"/>
      <c r="D16" s="68">
        <v>94.338267999999999</v>
      </c>
      <c r="E16" s="68">
        <v>291.0992</v>
      </c>
      <c r="F16" s="68">
        <v>-196.760932</v>
      </c>
      <c r="G16" s="49"/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49"/>
      <c r="Z16" s="49"/>
    </row>
    <row r="17" spans="1:26" ht="15.5" x14ac:dyDescent="0.35">
      <c r="A17" s="67" t="s">
        <v>186</v>
      </c>
      <c r="B17" s="61" t="s">
        <v>179</v>
      </c>
      <c r="C17" s="80"/>
      <c r="D17" s="71">
        <v>191.73918</v>
      </c>
      <c r="E17" s="71">
        <v>115.1808</v>
      </c>
      <c r="F17" s="71">
        <v>76.55838</v>
      </c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</row>
    <row r="18" spans="1:26" ht="15.5" x14ac:dyDescent="0.35">
      <c r="A18" s="73" t="s">
        <v>187</v>
      </c>
      <c r="B18" s="74" t="s">
        <v>180</v>
      </c>
      <c r="C18" s="74"/>
      <c r="D18" s="76">
        <v>156.57023000000001</v>
      </c>
      <c r="E18" s="76">
        <v>0</v>
      </c>
      <c r="F18" s="76">
        <v>156.57023000000001</v>
      </c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  <c r="Z18" s="49"/>
    </row>
    <row r="19" spans="1:26" ht="15.5" x14ac:dyDescent="0.35">
      <c r="A19" s="80" t="s">
        <v>200</v>
      </c>
      <c r="B19" s="80"/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49"/>
      <c r="Z19" s="49"/>
    </row>
    <row r="20" spans="1:26" ht="15.5" x14ac:dyDescent="0.35">
      <c r="A20" s="67" t="s">
        <v>321</v>
      </c>
      <c r="B20" s="61" t="s">
        <v>172</v>
      </c>
      <c r="C20" s="49"/>
      <c r="D20" s="71">
        <v>12.890049999999999</v>
      </c>
      <c r="E20" s="71">
        <v>26.019200000000001</v>
      </c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9"/>
    </row>
    <row r="21" spans="1:26" ht="15.5" x14ac:dyDescent="0.35">
      <c r="A21" s="67" t="s">
        <v>322</v>
      </c>
      <c r="B21" s="61" t="s">
        <v>174</v>
      </c>
      <c r="C21" s="80"/>
      <c r="D21" s="71">
        <v>16.694500000000001</v>
      </c>
      <c r="E21" s="71">
        <v>65.048000000000002</v>
      </c>
      <c r="F21" s="49"/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49"/>
    </row>
    <row r="22" spans="1:26" ht="15.5" x14ac:dyDescent="0.35">
      <c r="A22" s="67" t="s">
        <v>323</v>
      </c>
      <c r="B22" s="80" t="s">
        <v>179</v>
      </c>
      <c r="C22" s="80"/>
      <c r="D22" s="71">
        <v>12.496162</v>
      </c>
      <c r="E22" s="71">
        <v>8.1907200000000007</v>
      </c>
      <c r="F22" s="49"/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49"/>
    </row>
    <row r="23" spans="1:26" ht="15.5" x14ac:dyDescent="0.35">
      <c r="A23" s="73" t="s">
        <v>324</v>
      </c>
      <c r="B23" s="74" t="s">
        <v>180</v>
      </c>
      <c r="C23" s="75"/>
      <c r="D23" s="76">
        <v>17.222642</v>
      </c>
      <c r="E23" s="76">
        <v>0</v>
      </c>
      <c r="F23" s="75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</row>
    <row r="24" spans="1:26" ht="15.5" x14ac:dyDescent="0.35">
      <c r="A24" s="80" t="s">
        <v>203</v>
      </c>
      <c r="B24" s="80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</row>
    <row r="25" spans="1:26" ht="15.5" x14ac:dyDescent="0.35">
      <c r="A25" s="80" t="s">
        <v>204</v>
      </c>
      <c r="B25" s="80" t="s">
        <v>207</v>
      </c>
      <c r="C25" s="49"/>
      <c r="D25" s="72">
        <v>7.8114559999999997</v>
      </c>
      <c r="E25" s="72">
        <v>3.7414399999999999</v>
      </c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</row>
    <row r="26" spans="1:26" ht="15.5" x14ac:dyDescent="0.35">
      <c r="A26" s="80" t="s">
        <v>205</v>
      </c>
      <c r="B26" s="80" t="s">
        <v>208</v>
      </c>
      <c r="C26" s="49"/>
      <c r="D26" s="72">
        <v>8.5969079999999991</v>
      </c>
      <c r="E26" s="72">
        <v>11.224320000000001</v>
      </c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</row>
    <row r="27" spans="1:26" ht="15.5" x14ac:dyDescent="0.35">
      <c r="A27" s="80" t="s">
        <v>206</v>
      </c>
      <c r="B27" s="80" t="s">
        <v>209</v>
      </c>
      <c r="C27" s="49"/>
      <c r="D27" s="72">
        <v>3.5019</v>
      </c>
      <c r="E27" s="72">
        <v>5.6121600000000003</v>
      </c>
      <c r="F27" s="49"/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9"/>
    </row>
    <row r="28" spans="1:26" ht="15.5" x14ac:dyDescent="0.35">
      <c r="A28" s="80" t="s">
        <v>211</v>
      </c>
      <c r="B28" s="80" t="s">
        <v>210</v>
      </c>
      <c r="C28" s="49"/>
      <c r="D28" s="72">
        <v>3.96252</v>
      </c>
      <c r="E28" s="72">
        <v>4.5504000000000007</v>
      </c>
      <c r="F28" s="49"/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9"/>
    </row>
    <row r="29" spans="1:26" ht="15.5" x14ac:dyDescent="0.35">
      <c r="A29" s="74" t="s">
        <v>228</v>
      </c>
      <c r="B29" s="74"/>
      <c r="C29" s="75"/>
      <c r="D29" s="75"/>
      <c r="E29" s="75"/>
      <c r="F29" s="75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49"/>
    </row>
    <row r="30" spans="1:26" ht="15.5" x14ac:dyDescent="0.35">
      <c r="A30" s="80" t="s">
        <v>229</v>
      </c>
      <c r="B30" s="80" t="s">
        <v>172</v>
      </c>
      <c r="C30" s="49"/>
      <c r="D30" s="71">
        <v>54.719550000000005</v>
      </c>
      <c r="E30" s="71">
        <v>153.93440000000001</v>
      </c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</row>
    <row r="31" spans="1:26" ht="15.5" x14ac:dyDescent="0.35">
      <c r="A31" s="80" t="s">
        <v>230</v>
      </c>
      <c r="B31" s="80" t="s">
        <v>234</v>
      </c>
      <c r="C31" s="49"/>
      <c r="D31" s="71">
        <v>61.815049999999999</v>
      </c>
      <c r="E31" s="71">
        <v>190.7072</v>
      </c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49"/>
    </row>
    <row r="32" spans="1:26" ht="15.5" x14ac:dyDescent="0.35">
      <c r="A32" s="80" t="s">
        <v>231</v>
      </c>
      <c r="B32" s="80" t="s">
        <v>179</v>
      </c>
      <c r="C32" s="49"/>
      <c r="D32" s="71">
        <v>48.892115149639686</v>
      </c>
      <c r="E32" s="71">
        <v>32.518457266176</v>
      </c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</row>
    <row r="33" spans="1:26" ht="15.5" x14ac:dyDescent="0.35">
      <c r="A33" s="74" t="s">
        <v>232</v>
      </c>
      <c r="B33" s="74" t="s">
        <v>180</v>
      </c>
      <c r="C33" s="75"/>
      <c r="D33" s="76">
        <v>262.02282500000001</v>
      </c>
      <c r="E33" s="76">
        <v>0</v>
      </c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</row>
    <row r="34" spans="1:26" x14ac:dyDescent="0.35">
      <c r="A34" s="49"/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</row>
    <row r="35" spans="1:26" ht="15.5" x14ac:dyDescent="0.35">
      <c r="A35" s="80" t="s">
        <v>328</v>
      </c>
      <c r="B35" s="118"/>
      <c r="C35" s="49"/>
      <c r="D35" s="71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9"/>
    </row>
    <row r="36" spans="1:26" ht="15.5" x14ac:dyDescent="0.35">
      <c r="A36" s="49"/>
      <c r="B36" s="80" t="s">
        <v>325</v>
      </c>
      <c r="C36" s="49"/>
      <c r="D36" s="71">
        <v>83.238241000000002</v>
      </c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/>
    </row>
    <row r="37" spans="1:26" ht="15.5" x14ac:dyDescent="0.35">
      <c r="A37" s="49"/>
      <c r="B37" s="80" t="s">
        <v>105</v>
      </c>
      <c r="C37" s="49"/>
      <c r="D37" s="71">
        <v>25.042770000000004</v>
      </c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</row>
    <row r="38" spans="1:26" ht="15.5" x14ac:dyDescent="0.35">
      <c r="A38" s="80"/>
      <c r="B38" s="80" t="s">
        <v>326</v>
      </c>
      <c r="C38" s="49"/>
      <c r="D38" s="71">
        <v>20.855660000000004</v>
      </c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</row>
    <row r="39" spans="1:26" ht="15.5" x14ac:dyDescent="0.35">
      <c r="A39" s="49"/>
      <c r="B39" s="80" t="s">
        <v>327</v>
      </c>
      <c r="C39" s="49"/>
      <c r="D39" s="71">
        <v>35.746124999999999</v>
      </c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</row>
    <row r="40" spans="1:26" ht="15.5" x14ac:dyDescent="0.35">
      <c r="A40" s="118"/>
      <c r="B40" s="118"/>
      <c r="C40" s="49"/>
      <c r="D40" s="71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49"/>
    </row>
    <row r="41" spans="1:26" ht="15.5" x14ac:dyDescent="0.35">
      <c r="A41" s="80"/>
      <c r="B41" s="80"/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49"/>
    </row>
    <row r="42" spans="1:26" ht="15.5" x14ac:dyDescent="0.35">
      <c r="A42" s="80"/>
      <c r="B42" s="80"/>
      <c r="C42" s="49"/>
      <c r="D42" s="71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49"/>
    </row>
    <row r="43" spans="1:26" ht="15.5" x14ac:dyDescent="0.35">
      <c r="A43" s="49"/>
      <c r="B43" s="80"/>
      <c r="C43" s="49"/>
      <c r="D43" s="71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</row>
    <row r="44" spans="1:26" ht="15.5" x14ac:dyDescent="0.35">
      <c r="A44" s="118"/>
      <c r="B44" s="118"/>
      <c r="C44" s="49"/>
      <c r="D44" s="71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</row>
    <row r="45" spans="1:26" ht="15.5" x14ac:dyDescent="0.35">
      <c r="A45" s="80"/>
      <c r="B45" s="80"/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</row>
    <row r="46" spans="1:26" ht="15.5" x14ac:dyDescent="0.35">
      <c r="A46" s="80"/>
      <c r="B46" s="80"/>
      <c r="C46" s="49"/>
      <c r="D46" s="71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</row>
    <row r="47" spans="1:26" ht="15.5" x14ac:dyDescent="0.35">
      <c r="A47" s="49"/>
      <c r="B47" s="80"/>
      <c r="C47" s="49"/>
      <c r="D47" s="71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</row>
    <row r="48" spans="1:26" ht="15.5" x14ac:dyDescent="0.35">
      <c r="A48" s="118"/>
      <c r="B48" s="118"/>
      <c r="C48" s="49"/>
      <c r="D48" s="82"/>
      <c r="E48" s="71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</row>
    <row r="49" spans="1:26" ht="15.5" x14ac:dyDescent="0.35">
      <c r="A49" s="80"/>
      <c r="B49" s="80"/>
      <c r="C49" s="49"/>
      <c r="D49" s="72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</row>
    <row r="50" spans="1:26" ht="15.5" x14ac:dyDescent="0.35">
      <c r="A50" s="80"/>
      <c r="B50" s="80"/>
      <c r="C50" s="49"/>
      <c r="D50" s="49"/>
      <c r="E50" s="71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</row>
    <row r="51" spans="1:26" x14ac:dyDescent="0.35">
      <c r="A51" s="49"/>
      <c r="B51" s="49"/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</row>
    <row r="52" spans="1:26" x14ac:dyDescent="0.35">
      <c r="A52" s="49"/>
      <c r="B52" s="49"/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49"/>
      <c r="X52" s="49"/>
      <c r="Y52" s="49"/>
      <c r="Z52" s="49"/>
    </row>
    <row r="53" spans="1:26" x14ac:dyDescent="0.35">
      <c r="A53" s="49"/>
      <c r="B53" s="49"/>
      <c r="C53" s="4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49"/>
      <c r="X53" s="49"/>
      <c r="Y53" s="49"/>
      <c r="Z53" s="49"/>
    </row>
    <row r="54" spans="1:26" x14ac:dyDescent="0.35">
      <c r="A54" s="49"/>
      <c r="B54" s="49"/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  <c r="Z54" s="49"/>
    </row>
    <row r="55" spans="1:26" x14ac:dyDescent="0.35">
      <c r="A55" s="49"/>
      <c r="B55" s="49"/>
      <c r="C55" s="49"/>
      <c r="D55" s="49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</row>
    <row r="56" spans="1:26" x14ac:dyDescent="0.35">
      <c r="A56" s="49"/>
      <c r="B56" s="49"/>
      <c r="C56" s="49"/>
      <c r="D56" s="49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</row>
    <row r="57" spans="1:26" x14ac:dyDescent="0.35">
      <c r="A57" s="49"/>
      <c r="B57" s="49"/>
      <c r="C57" s="49"/>
      <c r="D57" s="49"/>
      <c r="E57" s="49"/>
      <c r="F57" s="49"/>
      <c r="G57" s="49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</row>
    <row r="58" spans="1:26" x14ac:dyDescent="0.35">
      <c r="A58" s="49"/>
      <c r="B58" s="49"/>
      <c r="C58" s="49"/>
      <c r="D58" s="49"/>
      <c r="E58" s="49"/>
      <c r="F58" s="49"/>
      <c r="G58" s="49"/>
      <c r="H58" s="49"/>
      <c r="I58" s="49"/>
      <c r="J58" s="49"/>
      <c r="K58" s="49"/>
      <c r="L58" s="49"/>
      <c r="M58" s="49"/>
      <c r="N58" s="49"/>
      <c r="O58" s="49"/>
      <c r="P58" s="49"/>
      <c r="Q58" s="49"/>
      <c r="R58" s="49"/>
      <c r="S58" s="49"/>
      <c r="T58" s="49"/>
      <c r="U58" s="49"/>
      <c r="V58" s="49"/>
      <c r="W58" s="49"/>
      <c r="X58" s="49"/>
      <c r="Y58" s="49"/>
      <c r="Z58" s="49"/>
    </row>
    <row r="59" spans="1:26" x14ac:dyDescent="0.35">
      <c r="A59" s="49"/>
      <c r="B59" s="49"/>
      <c r="C59" s="49"/>
      <c r="D59" s="49"/>
      <c r="E59" s="49"/>
      <c r="F59" s="49"/>
      <c r="G59" s="49"/>
      <c r="H59" s="49"/>
      <c r="I59" s="49"/>
      <c r="J59" s="49"/>
      <c r="K59" s="49"/>
      <c r="L59" s="49"/>
      <c r="M59" s="49"/>
      <c r="N59" s="49"/>
      <c r="O59" s="49"/>
      <c r="P59" s="49"/>
      <c r="Q59" s="49"/>
      <c r="R59" s="49"/>
      <c r="S59" s="49"/>
      <c r="T59" s="49"/>
      <c r="U59" s="49"/>
      <c r="V59" s="49"/>
      <c r="W59" s="49"/>
      <c r="X59" s="49"/>
      <c r="Y59" s="49"/>
      <c r="Z59" s="49"/>
    </row>
    <row r="60" spans="1:26" x14ac:dyDescent="0.35">
      <c r="A60" s="49"/>
      <c r="B60" s="49"/>
      <c r="C60" s="49"/>
      <c r="D60" s="49"/>
      <c r="E60" s="49"/>
      <c r="F60" s="49"/>
      <c r="G60" s="49"/>
      <c r="H60" s="49"/>
      <c r="I60" s="49"/>
      <c r="J60" s="49"/>
      <c r="K60" s="49"/>
      <c r="L60" s="49"/>
      <c r="M60" s="49"/>
      <c r="N60" s="49"/>
      <c r="O60" s="49"/>
      <c r="P60" s="49"/>
      <c r="Q60" s="49"/>
      <c r="R60" s="49"/>
      <c r="S60" s="49"/>
      <c r="T60" s="49"/>
      <c r="U60" s="49"/>
      <c r="V60" s="49"/>
      <c r="W60" s="49"/>
      <c r="X60" s="49"/>
      <c r="Y60" s="49"/>
      <c r="Z60" s="49"/>
    </row>
    <row r="61" spans="1:26" x14ac:dyDescent="0.35">
      <c r="A61" s="49"/>
      <c r="B61" s="49"/>
      <c r="C61" s="49"/>
      <c r="D61" s="49"/>
      <c r="E61" s="49"/>
      <c r="F61" s="49"/>
      <c r="G61" s="49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49"/>
      <c r="X61" s="49"/>
      <c r="Y61" s="49"/>
      <c r="Z61" s="49"/>
    </row>
    <row r="62" spans="1:26" x14ac:dyDescent="0.35">
      <c r="A62" s="49"/>
      <c r="B62" s="49"/>
      <c r="C62" s="49"/>
      <c r="D62" s="49"/>
      <c r="E62" s="49"/>
      <c r="F62" s="49"/>
      <c r="G62" s="49"/>
      <c r="H62" s="49"/>
      <c r="I62" s="49"/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49"/>
      <c r="Z62" s="49"/>
    </row>
    <row r="63" spans="1:26" x14ac:dyDescent="0.35">
      <c r="A63" s="49"/>
      <c r="B63" s="49"/>
      <c r="C63" s="49"/>
      <c r="D63" s="49"/>
      <c r="E63" s="49"/>
      <c r="F63" s="49"/>
      <c r="G63" s="49"/>
      <c r="H63" s="49"/>
      <c r="I63" s="49"/>
      <c r="J63" s="49"/>
      <c r="K63" s="49"/>
      <c r="L63" s="49"/>
      <c r="M63" s="49"/>
      <c r="N63" s="49"/>
      <c r="O63" s="49"/>
      <c r="P63" s="49"/>
      <c r="Q63" s="49"/>
      <c r="R63" s="49"/>
      <c r="S63" s="49"/>
      <c r="T63" s="49"/>
      <c r="U63" s="49"/>
      <c r="V63" s="49"/>
      <c r="W63" s="49"/>
      <c r="X63" s="49"/>
      <c r="Y63" s="49"/>
      <c r="Z63" s="49"/>
    </row>
    <row r="64" spans="1:26" x14ac:dyDescent="0.35">
      <c r="A64" s="49"/>
      <c r="B64" s="49"/>
      <c r="C64" s="49"/>
      <c r="D64" s="49"/>
      <c r="E64" s="49"/>
      <c r="F64" s="49"/>
      <c r="G64" s="49"/>
      <c r="H64" s="49"/>
      <c r="I64" s="49"/>
      <c r="J64" s="49"/>
      <c r="K64" s="49"/>
      <c r="L64" s="49"/>
      <c r="M64" s="49"/>
      <c r="N64" s="49"/>
      <c r="O64" s="49"/>
      <c r="P64" s="49"/>
      <c r="Q64" s="49"/>
      <c r="R64" s="49"/>
      <c r="S64" s="49"/>
      <c r="T64" s="49"/>
      <c r="U64" s="49"/>
      <c r="V64" s="49"/>
      <c r="W64" s="49"/>
      <c r="X64" s="49"/>
      <c r="Y64" s="49"/>
      <c r="Z64" s="49"/>
    </row>
    <row r="65" spans="1:26" x14ac:dyDescent="0.35">
      <c r="A65" s="49"/>
      <c r="B65" s="49"/>
      <c r="C65" s="49"/>
      <c r="D65" s="49"/>
      <c r="E65" s="49"/>
      <c r="F65" s="49"/>
      <c r="G65" s="49"/>
      <c r="H65" s="49"/>
      <c r="I65" s="49"/>
      <c r="J65" s="49"/>
      <c r="K65" s="49"/>
      <c r="L65" s="49"/>
      <c r="M65" s="49"/>
      <c r="N65" s="49"/>
      <c r="O65" s="49"/>
      <c r="P65" s="49"/>
      <c r="Q65" s="49"/>
      <c r="R65" s="49"/>
      <c r="S65" s="49"/>
      <c r="T65" s="49"/>
      <c r="U65" s="49"/>
      <c r="V65" s="49"/>
      <c r="W65" s="49"/>
      <c r="X65" s="49"/>
      <c r="Y65" s="49"/>
      <c r="Z65" s="49"/>
    </row>
    <row r="66" spans="1:26" x14ac:dyDescent="0.35">
      <c r="A66" s="49"/>
      <c r="B66" s="49"/>
      <c r="C66" s="49"/>
      <c r="D66" s="49"/>
      <c r="E66" s="49"/>
      <c r="F66" s="49"/>
      <c r="G66" s="49"/>
      <c r="H66" s="49"/>
      <c r="I66" s="49"/>
      <c r="J66" s="49"/>
      <c r="K66" s="49"/>
      <c r="L66" s="49"/>
      <c r="M66" s="49"/>
      <c r="N66" s="49"/>
      <c r="O66" s="49"/>
      <c r="P66" s="49"/>
      <c r="Q66" s="49"/>
      <c r="R66" s="49"/>
      <c r="S66" s="49"/>
      <c r="T66" s="49"/>
      <c r="U66" s="49"/>
      <c r="V66" s="49"/>
      <c r="W66" s="49"/>
      <c r="X66" s="49"/>
      <c r="Y66" s="49"/>
      <c r="Z66" s="49"/>
    </row>
    <row r="67" spans="1:26" x14ac:dyDescent="0.35">
      <c r="A67" s="49"/>
      <c r="B67" s="49"/>
      <c r="C67" s="49"/>
      <c r="D67" s="49"/>
      <c r="E67" s="49"/>
      <c r="F67" s="49"/>
      <c r="G67" s="49"/>
      <c r="H67" s="49"/>
      <c r="I67" s="49"/>
      <c r="J67" s="49"/>
      <c r="K67" s="49"/>
      <c r="L67" s="49"/>
      <c r="M67" s="49"/>
      <c r="N67" s="49"/>
      <c r="O67" s="49"/>
      <c r="P67" s="49"/>
      <c r="Q67" s="49"/>
      <c r="R67" s="49"/>
      <c r="S67" s="49"/>
      <c r="T67" s="49"/>
      <c r="U67" s="49"/>
      <c r="V67" s="49"/>
      <c r="W67" s="49"/>
      <c r="X67" s="49"/>
      <c r="Y67" s="49"/>
      <c r="Z67" s="49"/>
    </row>
    <row r="68" spans="1:26" x14ac:dyDescent="0.35">
      <c r="A68" s="49"/>
      <c r="B68" s="49"/>
      <c r="C68" s="49"/>
      <c r="D68" s="49"/>
      <c r="E68" s="49"/>
      <c r="F68" s="49"/>
      <c r="G68" s="49"/>
      <c r="H68" s="49"/>
      <c r="I68" s="49"/>
      <c r="J68" s="49"/>
      <c r="K68" s="49"/>
      <c r="L68" s="49"/>
      <c r="M68" s="49"/>
      <c r="N68" s="49"/>
      <c r="O68" s="49"/>
      <c r="P68" s="49"/>
      <c r="Q68" s="49"/>
      <c r="R68" s="49"/>
      <c r="S68" s="49"/>
      <c r="T68" s="49"/>
      <c r="U68" s="49"/>
      <c r="V68" s="49"/>
      <c r="W68" s="49"/>
      <c r="X68" s="49"/>
      <c r="Y68" s="49"/>
      <c r="Z68" s="49"/>
    </row>
    <row r="69" spans="1:26" x14ac:dyDescent="0.35">
      <c r="A69" s="49"/>
      <c r="B69" s="49"/>
      <c r="C69" s="49"/>
      <c r="D69" s="49"/>
      <c r="E69" s="49"/>
      <c r="F69" s="49"/>
      <c r="G69" s="49"/>
      <c r="H69" s="49"/>
      <c r="I69" s="49"/>
      <c r="J69" s="49"/>
      <c r="K69" s="49"/>
      <c r="L69" s="49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49"/>
      <c r="Y69" s="49"/>
      <c r="Z69" s="49"/>
    </row>
    <row r="70" spans="1:26" x14ac:dyDescent="0.35">
      <c r="A70" s="49"/>
      <c r="B70" s="49"/>
      <c r="C70" s="49"/>
      <c r="D70" s="49"/>
      <c r="E70" s="49"/>
      <c r="F70" s="49"/>
      <c r="G70" s="49"/>
      <c r="H70" s="49"/>
      <c r="I70" s="49"/>
      <c r="J70" s="49"/>
      <c r="K70" s="49"/>
      <c r="L70" s="49"/>
      <c r="M70" s="49"/>
      <c r="N70" s="49"/>
      <c r="O70" s="49"/>
      <c r="P70" s="49"/>
      <c r="Q70" s="49"/>
      <c r="R70" s="49"/>
      <c r="S70" s="49"/>
      <c r="T70" s="49"/>
      <c r="U70" s="49"/>
      <c r="V70" s="49"/>
      <c r="W70" s="49"/>
      <c r="X70" s="49"/>
      <c r="Y70" s="49"/>
      <c r="Z70" s="49"/>
    </row>
    <row r="71" spans="1:26" x14ac:dyDescent="0.35">
      <c r="A71" s="49"/>
      <c r="B71" s="49"/>
      <c r="C71" s="49"/>
      <c r="D71" s="49"/>
      <c r="E71" s="49"/>
      <c r="F71" s="49"/>
      <c r="G71" s="49"/>
      <c r="H71" s="49"/>
      <c r="I71" s="49"/>
      <c r="J71" s="49"/>
      <c r="K71" s="49"/>
      <c r="L71" s="49"/>
      <c r="M71" s="49"/>
      <c r="N71" s="49"/>
      <c r="O71" s="49"/>
      <c r="P71" s="49"/>
      <c r="Q71" s="49"/>
      <c r="R71" s="49"/>
      <c r="S71" s="49"/>
      <c r="T71" s="49"/>
      <c r="U71" s="49"/>
      <c r="V71" s="49"/>
      <c r="W71" s="49"/>
      <c r="X71" s="49"/>
      <c r="Y71" s="49"/>
      <c r="Z71" s="49"/>
    </row>
    <row r="72" spans="1:26" x14ac:dyDescent="0.35">
      <c r="A72" s="49"/>
      <c r="B72" s="49"/>
      <c r="C72" s="49"/>
      <c r="D72" s="49"/>
      <c r="E72" s="49"/>
      <c r="F72" s="49"/>
      <c r="G72" s="49"/>
      <c r="H72" s="49"/>
      <c r="I72" s="49"/>
      <c r="J72" s="49"/>
      <c r="K72" s="49"/>
      <c r="L72" s="49"/>
      <c r="M72" s="49"/>
      <c r="N72" s="49"/>
      <c r="O72" s="49"/>
      <c r="P72" s="49"/>
      <c r="Q72" s="49"/>
      <c r="R72" s="49"/>
      <c r="S72" s="49"/>
      <c r="T72" s="49"/>
      <c r="U72" s="49"/>
      <c r="V72" s="49"/>
      <c r="W72" s="49"/>
      <c r="X72" s="49"/>
      <c r="Y72" s="49"/>
      <c r="Z72" s="49"/>
    </row>
    <row r="73" spans="1:26" x14ac:dyDescent="0.35">
      <c r="A73" s="49"/>
      <c r="B73" s="49"/>
      <c r="C73" s="49"/>
      <c r="D73" s="49"/>
      <c r="E73" s="49"/>
      <c r="F73" s="49"/>
      <c r="G73" s="49"/>
      <c r="H73" s="49"/>
      <c r="I73" s="49"/>
      <c r="J73" s="49"/>
      <c r="K73" s="49"/>
      <c r="L73" s="49"/>
      <c r="M73" s="49"/>
      <c r="N73" s="49"/>
      <c r="O73" s="49"/>
      <c r="P73" s="49"/>
      <c r="Q73" s="49"/>
      <c r="R73" s="49"/>
      <c r="S73" s="49"/>
      <c r="T73" s="49"/>
      <c r="U73" s="49"/>
      <c r="V73" s="49"/>
      <c r="W73" s="49"/>
      <c r="X73" s="49"/>
      <c r="Y73" s="49"/>
      <c r="Z73" s="49"/>
    </row>
    <row r="74" spans="1:26" x14ac:dyDescent="0.35">
      <c r="A74" s="49"/>
      <c r="B74" s="49"/>
      <c r="C74" s="49"/>
      <c r="D74" s="49"/>
      <c r="E74" s="49"/>
      <c r="F74" s="49"/>
      <c r="G74" s="49"/>
      <c r="H74" s="49"/>
      <c r="I74" s="49"/>
      <c r="J74" s="49"/>
      <c r="K74" s="49"/>
      <c r="L74" s="49"/>
      <c r="M74" s="49"/>
      <c r="N74" s="49"/>
      <c r="O74" s="49"/>
      <c r="P74" s="49"/>
      <c r="Q74" s="49"/>
      <c r="R74" s="49"/>
      <c r="S74" s="49"/>
      <c r="T74" s="49"/>
      <c r="U74" s="49"/>
      <c r="V74" s="49"/>
      <c r="W74" s="49"/>
      <c r="X74" s="49"/>
      <c r="Y74" s="49"/>
      <c r="Z74" s="49"/>
    </row>
    <row r="75" spans="1:26" x14ac:dyDescent="0.35">
      <c r="A75" s="49"/>
      <c r="B75" s="49"/>
      <c r="C75" s="49"/>
      <c r="D75" s="49"/>
      <c r="E75" s="49"/>
      <c r="F75" s="49"/>
      <c r="G75" s="49"/>
      <c r="H75" s="49"/>
      <c r="I75" s="49"/>
      <c r="J75" s="49"/>
      <c r="K75" s="49"/>
      <c r="L75" s="49"/>
      <c r="M75" s="49"/>
      <c r="N75" s="49"/>
      <c r="O75" s="49"/>
      <c r="P75" s="49"/>
      <c r="Q75" s="49"/>
      <c r="R75" s="49"/>
      <c r="S75" s="49"/>
      <c r="T75" s="49"/>
      <c r="U75" s="49"/>
      <c r="V75" s="49"/>
      <c r="W75" s="49"/>
      <c r="X75" s="49"/>
      <c r="Y75" s="49"/>
      <c r="Z75" s="49"/>
    </row>
    <row r="76" spans="1:26" x14ac:dyDescent="0.35">
      <c r="A76" s="49"/>
      <c r="B76" s="49"/>
      <c r="C76" s="49"/>
      <c r="D76" s="49"/>
      <c r="E76" s="49"/>
      <c r="F76" s="49"/>
      <c r="G76" s="49"/>
      <c r="H76" s="49"/>
      <c r="I76" s="49"/>
      <c r="J76" s="49"/>
      <c r="K76" s="49"/>
      <c r="L76" s="49"/>
      <c r="M76" s="49"/>
      <c r="N76" s="49"/>
      <c r="O76" s="49"/>
      <c r="P76" s="49"/>
      <c r="Q76" s="49"/>
      <c r="R76" s="49"/>
      <c r="S76" s="49"/>
      <c r="T76" s="49"/>
      <c r="U76" s="49"/>
      <c r="V76" s="49"/>
      <c r="W76" s="49"/>
      <c r="X76" s="49"/>
      <c r="Y76" s="49"/>
      <c r="Z76" s="49"/>
    </row>
    <row r="77" spans="1:26" x14ac:dyDescent="0.35">
      <c r="A77" s="49"/>
      <c r="B77" s="49"/>
      <c r="C77" s="49"/>
      <c r="D77" s="49"/>
      <c r="E77" s="49"/>
      <c r="F77" s="49"/>
      <c r="G77" s="49"/>
      <c r="H77" s="49"/>
      <c r="I77" s="49"/>
      <c r="J77" s="49"/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49"/>
      <c r="W77" s="49"/>
      <c r="X77" s="49"/>
      <c r="Y77" s="49"/>
      <c r="Z77" s="49"/>
    </row>
    <row r="78" spans="1:26" x14ac:dyDescent="0.35">
      <c r="A78" s="49"/>
      <c r="B78" s="49"/>
      <c r="C78" s="49"/>
      <c r="D78" s="49"/>
      <c r="E78" s="49"/>
      <c r="F78" s="49"/>
      <c r="G78" s="49"/>
      <c r="H78" s="49"/>
      <c r="I78" s="49"/>
      <c r="J78" s="49"/>
      <c r="K78" s="49"/>
      <c r="L78" s="49"/>
      <c r="M78" s="49"/>
      <c r="N78" s="49"/>
      <c r="O78" s="49"/>
      <c r="P78" s="49"/>
      <c r="Q78" s="49"/>
      <c r="R78" s="49"/>
      <c r="S78" s="49"/>
      <c r="T78" s="49"/>
      <c r="U78" s="49"/>
      <c r="V78" s="49"/>
      <c r="W78" s="49"/>
      <c r="X78" s="49"/>
      <c r="Y78" s="49"/>
      <c r="Z78" s="49"/>
    </row>
    <row r="79" spans="1:26" x14ac:dyDescent="0.35">
      <c r="A79" s="49"/>
      <c r="B79" s="49"/>
      <c r="C79" s="49"/>
      <c r="D79" s="49"/>
      <c r="E79" s="49"/>
      <c r="F79" s="49"/>
      <c r="G79" s="49"/>
      <c r="H79" s="49"/>
      <c r="I79" s="49"/>
      <c r="J79" s="49"/>
      <c r="K79" s="49"/>
      <c r="L79" s="49"/>
      <c r="M79" s="49"/>
      <c r="N79" s="49"/>
      <c r="O79" s="49"/>
      <c r="P79" s="49"/>
      <c r="Q79" s="49"/>
      <c r="R79" s="49"/>
      <c r="S79" s="49"/>
      <c r="T79" s="49"/>
      <c r="U79" s="49"/>
      <c r="V79" s="49"/>
      <c r="W79" s="49"/>
      <c r="X79" s="49"/>
      <c r="Y79" s="49"/>
      <c r="Z79" s="49"/>
    </row>
    <row r="80" spans="1:26" x14ac:dyDescent="0.35">
      <c r="A80" s="49"/>
      <c r="B80" s="49"/>
      <c r="C80" s="49"/>
      <c r="D80" s="49"/>
      <c r="E80" s="49"/>
      <c r="F80" s="49"/>
      <c r="G80" s="49"/>
      <c r="H80" s="49"/>
      <c r="I80" s="49"/>
      <c r="J80" s="49"/>
      <c r="K80" s="49"/>
      <c r="L80" s="49"/>
      <c r="M80" s="49"/>
      <c r="N80" s="49"/>
      <c r="O80" s="49"/>
      <c r="P80" s="49"/>
      <c r="Q80" s="49"/>
      <c r="R80" s="49"/>
      <c r="S80" s="49"/>
      <c r="T80" s="49"/>
      <c r="U80" s="49"/>
      <c r="V80" s="49"/>
      <c r="W80" s="49"/>
      <c r="X80" s="49"/>
      <c r="Y80" s="49"/>
      <c r="Z80" s="49"/>
    </row>
    <row r="81" spans="1:26" x14ac:dyDescent="0.35">
      <c r="A81" s="49"/>
      <c r="B81" s="49"/>
      <c r="C81" s="49"/>
      <c r="D81" s="49"/>
      <c r="E81" s="49"/>
      <c r="F81" s="49"/>
      <c r="G81" s="49"/>
      <c r="H81" s="49"/>
      <c r="I81" s="49"/>
      <c r="J81" s="49"/>
      <c r="K81" s="49"/>
      <c r="L81" s="49"/>
      <c r="M81" s="49"/>
      <c r="N81" s="49"/>
      <c r="O81" s="49"/>
      <c r="P81" s="49"/>
      <c r="Q81" s="49"/>
      <c r="R81" s="49"/>
      <c r="S81" s="49"/>
      <c r="T81" s="49"/>
      <c r="U81" s="49"/>
      <c r="V81" s="49"/>
      <c r="W81" s="49"/>
      <c r="X81" s="49"/>
      <c r="Y81" s="49"/>
      <c r="Z81" s="49"/>
    </row>
    <row r="82" spans="1:26" x14ac:dyDescent="0.35">
      <c r="A82" s="49"/>
      <c r="B82" s="49"/>
      <c r="C82" s="49"/>
      <c r="D82" s="49"/>
      <c r="E82" s="49"/>
      <c r="F82" s="49"/>
      <c r="G82" s="49"/>
      <c r="H82" s="49"/>
      <c r="I82" s="49"/>
      <c r="J82" s="49"/>
      <c r="K82" s="49"/>
      <c r="L82" s="49"/>
      <c r="M82" s="49"/>
      <c r="N82" s="49"/>
      <c r="O82" s="49"/>
      <c r="P82" s="49"/>
      <c r="Q82" s="49"/>
      <c r="R82" s="49"/>
      <c r="S82" s="49"/>
      <c r="T82" s="49"/>
      <c r="U82" s="49"/>
      <c r="V82" s="49"/>
      <c r="W82" s="49"/>
      <c r="X82" s="49"/>
      <c r="Y82" s="49"/>
      <c r="Z82" s="49"/>
    </row>
    <row r="83" spans="1:26" x14ac:dyDescent="0.35">
      <c r="A83" s="49"/>
      <c r="B83" s="49"/>
      <c r="C83" s="49"/>
      <c r="D83" s="49"/>
      <c r="E83" s="49"/>
      <c r="F83" s="49"/>
      <c r="G83" s="49"/>
      <c r="H83" s="49"/>
      <c r="I83" s="49"/>
      <c r="J83" s="49"/>
      <c r="K83" s="49"/>
      <c r="L83" s="49"/>
      <c r="M83" s="49"/>
      <c r="N83" s="49"/>
      <c r="O83" s="49"/>
      <c r="P83" s="49"/>
      <c r="Q83" s="49"/>
      <c r="R83" s="49"/>
      <c r="S83" s="49"/>
      <c r="T83" s="49"/>
      <c r="U83" s="49"/>
      <c r="V83" s="49"/>
      <c r="W83" s="49"/>
      <c r="X83" s="49"/>
      <c r="Y83" s="49"/>
      <c r="Z83" s="49"/>
    </row>
    <row r="84" spans="1:26" x14ac:dyDescent="0.35">
      <c r="A84" s="49"/>
      <c r="B84" s="49"/>
      <c r="C84" s="49"/>
      <c r="D84" s="49"/>
      <c r="E84" s="49"/>
      <c r="F84" s="49"/>
      <c r="G84" s="49"/>
      <c r="H84" s="49"/>
      <c r="I84" s="49"/>
      <c r="J84" s="49"/>
      <c r="K84" s="49"/>
      <c r="L84" s="49"/>
      <c r="M84" s="49"/>
      <c r="N84" s="49"/>
      <c r="O84" s="49"/>
      <c r="P84" s="49"/>
      <c r="Q84" s="49"/>
      <c r="R84" s="49"/>
      <c r="S84" s="49"/>
      <c r="T84" s="49"/>
      <c r="U84" s="49"/>
      <c r="V84" s="49"/>
      <c r="W84" s="49"/>
      <c r="X84" s="49"/>
      <c r="Y84" s="49"/>
      <c r="Z84" s="49"/>
    </row>
    <row r="85" spans="1:26" x14ac:dyDescent="0.35">
      <c r="A85" s="49"/>
      <c r="B85" s="49"/>
      <c r="C85" s="49"/>
      <c r="D85" s="49"/>
      <c r="E85" s="49"/>
      <c r="F85" s="49"/>
      <c r="G85" s="49"/>
      <c r="H85" s="49"/>
      <c r="I85" s="49"/>
      <c r="J85" s="49"/>
      <c r="K85" s="49"/>
      <c r="L85" s="49"/>
      <c r="M85" s="49"/>
      <c r="N85" s="49"/>
      <c r="O85" s="49"/>
      <c r="P85" s="49"/>
      <c r="Q85" s="49"/>
      <c r="R85" s="49"/>
      <c r="S85" s="49"/>
      <c r="T85" s="49"/>
      <c r="U85" s="49"/>
      <c r="V85" s="49"/>
      <c r="W85" s="49"/>
      <c r="X85" s="49"/>
      <c r="Y85" s="49"/>
      <c r="Z85" s="49"/>
    </row>
    <row r="86" spans="1:26" x14ac:dyDescent="0.35">
      <c r="A86" s="49"/>
      <c r="B86" s="49"/>
      <c r="C86" s="49"/>
      <c r="D86" s="49"/>
      <c r="E86" s="49"/>
      <c r="F86" s="49"/>
      <c r="G86" s="49"/>
      <c r="H86" s="49"/>
      <c r="I86" s="49"/>
      <c r="J86" s="49"/>
      <c r="K86" s="49"/>
      <c r="L86" s="49"/>
      <c r="M86" s="49"/>
      <c r="N86" s="49"/>
      <c r="O86" s="49"/>
      <c r="P86" s="49"/>
      <c r="Q86" s="49"/>
      <c r="R86" s="49"/>
      <c r="S86" s="49"/>
      <c r="T86" s="49"/>
      <c r="U86" s="49"/>
      <c r="V86" s="49"/>
      <c r="W86" s="49"/>
      <c r="X86" s="49"/>
      <c r="Y86" s="49"/>
      <c r="Z86" s="49"/>
    </row>
    <row r="87" spans="1:26" x14ac:dyDescent="0.35">
      <c r="A87" s="49"/>
      <c r="B87" s="49"/>
      <c r="C87" s="49"/>
      <c r="D87" s="49"/>
      <c r="E87" s="49"/>
      <c r="F87" s="49"/>
      <c r="G87" s="49"/>
      <c r="H87" s="49"/>
      <c r="I87" s="49"/>
      <c r="J87" s="49"/>
      <c r="K87" s="49"/>
      <c r="L87" s="49"/>
      <c r="M87" s="49"/>
      <c r="N87" s="49"/>
      <c r="O87" s="49"/>
      <c r="P87" s="49"/>
      <c r="Q87" s="49"/>
      <c r="R87" s="49"/>
      <c r="S87" s="49"/>
      <c r="T87" s="49"/>
      <c r="U87" s="49"/>
      <c r="V87" s="49"/>
      <c r="W87" s="49"/>
      <c r="X87" s="49"/>
      <c r="Y87" s="49"/>
      <c r="Z87" s="49"/>
    </row>
    <row r="88" spans="1:26" x14ac:dyDescent="0.35">
      <c r="A88" s="49"/>
      <c r="B88" s="49"/>
      <c r="C88" s="49"/>
      <c r="D88" s="49"/>
      <c r="E88" s="49"/>
      <c r="F88" s="49"/>
      <c r="G88" s="49"/>
      <c r="H88" s="49"/>
      <c r="I88" s="49"/>
      <c r="J88" s="49"/>
      <c r="K88" s="49"/>
      <c r="L88" s="49"/>
      <c r="M88" s="49"/>
      <c r="N88" s="49"/>
      <c r="O88" s="49"/>
      <c r="P88" s="49"/>
      <c r="Q88" s="49"/>
      <c r="R88" s="49"/>
      <c r="S88" s="49"/>
      <c r="T88" s="49"/>
      <c r="U88" s="49"/>
      <c r="V88" s="49"/>
      <c r="W88" s="49"/>
      <c r="X88" s="49"/>
      <c r="Y88" s="49"/>
      <c r="Z88" s="49"/>
    </row>
    <row r="89" spans="1:26" x14ac:dyDescent="0.35">
      <c r="A89" s="49"/>
      <c r="B89" s="49"/>
      <c r="C89" s="49"/>
      <c r="D89" s="49"/>
      <c r="E89" s="49"/>
      <c r="F89" s="49"/>
      <c r="G89" s="49"/>
      <c r="H89" s="49"/>
      <c r="I89" s="49"/>
      <c r="J89" s="49"/>
      <c r="K89" s="49"/>
      <c r="L89" s="49"/>
      <c r="M89" s="49"/>
      <c r="N89" s="49"/>
      <c r="O89" s="49"/>
      <c r="P89" s="49"/>
      <c r="Q89" s="49"/>
      <c r="R89" s="49"/>
      <c r="S89" s="49"/>
      <c r="T89" s="49"/>
      <c r="U89" s="49"/>
      <c r="V89" s="49"/>
      <c r="W89" s="49"/>
      <c r="X89" s="49"/>
      <c r="Y89" s="49"/>
      <c r="Z89" s="49"/>
    </row>
    <row r="90" spans="1:26" x14ac:dyDescent="0.35">
      <c r="A90" s="49"/>
      <c r="B90" s="49"/>
      <c r="C90" s="49"/>
      <c r="D90" s="49"/>
      <c r="E90" s="49"/>
      <c r="F90" s="49"/>
      <c r="G90" s="49"/>
      <c r="H90" s="49"/>
      <c r="I90" s="49"/>
      <c r="J90" s="49"/>
      <c r="K90" s="49"/>
      <c r="L90" s="49"/>
      <c r="M90" s="49"/>
      <c r="N90" s="49"/>
      <c r="O90" s="49"/>
      <c r="P90" s="49"/>
      <c r="Q90" s="49"/>
      <c r="R90" s="49"/>
      <c r="S90" s="49"/>
      <c r="T90" s="49"/>
      <c r="U90" s="49"/>
      <c r="V90" s="49"/>
      <c r="W90" s="49"/>
      <c r="X90" s="49"/>
      <c r="Y90" s="49"/>
      <c r="Z90" s="49"/>
    </row>
    <row r="91" spans="1:26" x14ac:dyDescent="0.35">
      <c r="A91" s="49"/>
      <c r="B91" s="49"/>
      <c r="C91" s="49"/>
      <c r="D91" s="49"/>
      <c r="E91" s="49"/>
      <c r="F91" s="49"/>
      <c r="G91" s="49"/>
      <c r="H91" s="49"/>
      <c r="I91" s="49"/>
      <c r="J91" s="49"/>
      <c r="K91" s="49"/>
      <c r="L91" s="49"/>
      <c r="M91" s="49"/>
      <c r="N91" s="49"/>
      <c r="O91" s="49"/>
      <c r="P91" s="49"/>
      <c r="Q91" s="49"/>
      <c r="R91" s="49"/>
      <c r="S91" s="49"/>
      <c r="T91" s="49"/>
      <c r="U91" s="49"/>
      <c r="V91" s="49"/>
      <c r="W91" s="49"/>
      <c r="X91" s="49"/>
      <c r="Y91" s="49"/>
      <c r="Z91" s="49"/>
    </row>
    <row r="92" spans="1:26" x14ac:dyDescent="0.35">
      <c r="A92" s="49"/>
      <c r="B92" s="49"/>
      <c r="C92" s="49"/>
      <c r="D92" s="49"/>
      <c r="E92" s="49"/>
      <c r="F92" s="49"/>
      <c r="G92" s="49"/>
      <c r="H92" s="49"/>
      <c r="I92" s="49"/>
      <c r="J92" s="49"/>
      <c r="K92" s="49"/>
      <c r="L92" s="49"/>
      <c r="M92" s="49"/>
      <c r="N92" s="49"/>
      <c r="O92" s="49"/>
      <c r="P92" s="49"/>
      <c r="Q92" s="49"/>
      <c r="R92" s="49"/>
      <c r="S92" s="49"/>
      <c r="T92" s="49"/>
      <c r="U92" s="49"/>
      <c r="V92" s="49"/>
      <c r="W92" s="49"/>
      <c r="X92" s="49"/>
      <c r="Y92" s="49"/>
      <c r="Z92" s="49"/>
    </row>
    <row r="93" spans="1:26" x14ac:dyDescent="0.35">
      <c r="A93" s="49"/>
      <c r="B93" s="49"/>
      <c r="C93" s="49"/>
      <c r="D93" s="49"/>
      <c r="E93" s="49"/>
      <c r="F93" s="49"/>
      <c r="G93" s="49"/>
      <c r="H93" s="49"/>
      <c r="I93" s="49"/>
      <c r="J93" s="49"/>
      <c r="K93" s="49"/>
      <c r="L93" s="49"/>
      <c r="M93" s="49"/>
      <c r="N93" s="49"/>
      <c r="O93" s="49"/>
      <c r="P93" s="49"/>
      <c r="Q93" s="49"/>
      <c r="R93" s="49"/>
      <c r="S93" s="49"/>
      <c r="T93" s="49"/>
      <c r="U93" s="49"/>
      <c r="V93" s="49"/>
      <c r="W93" s="49"/>
      <c r="X93" s="49"/>
      <c r="Y93" s="49"/>
      <c r="Z93" s="49"/>
    </row>
    <row r="94" spans="1:26" x14ac:dyDescent="0.35">
      <c r="A94" s="49"/>
      <c r="B94" s="49"/>
      <c r="C94" s="49"/>
      <c r="D94" s="49"/>
      <c r="E94" s="49"/>
      <c r="F94" s="49"/>
      <c r="G94" s="49"/>
      <c r="H94" s="49"/>
      <c r="I94" s="49"/>
      <c r="J94" s="49"/>
      <c r="K94" s="49"/>
      <c r="L94" s="49"/>
      <c r="M94" s="49"/>
      <c r="N94" s="49"/>
      <c r="O94" s="49"/>
      <c r="P94" s="49"/>
      <c r="Q94" s="49"/>
      <c r="R94" s="49"/>
      <c r="S94" s="49"/>
      <c r="T94" s="49"/>
      <c r="U94" s="49"/>
      <c r="V94" s="49"/>
      <c r="W94" s="49"/>
      <c r="X94" s="49"/>
      <c r="Y94" s="49"/>
      <c r="Z94" s="49"/>
    </row>
    <row r="95" spans="1:26" x14ac:dyDescent="0.35">
      <c r="A95" s="49"/>
      <c r="B95" s="49"/>
      <c r="C95" s="49"/>
      <c r="D95" s="49"/>
      <c r="E95" s="49"/>
      <c r="F95" s="49"/>
      <c r="G95" s="49"/>
      <c r="H95" s="49"/>
      <c r="I95" s="49"/>
      <c r="J95" s="49"/>
      <c r="K95" s="49"/>
      <c r="L95" s="49"/>
      <c r="M95" s="49"/>
      <c r="N95" s="49"/>
      <c r="O95" s="49"/>
      <c r="P95" s="49"/>
      <c r="Q95" s="49"/>
      <c r="R95" s="49"/>
      <c r="S95" s="49"/>
      <c r="T95" s="49"/>
      <c r="U95" s="49"/>
      <c r="V95" s="49"/>
      <c r="W95" s="49"/>
      <c r="X95" s="49"/>
      <c r="Y95" s="49"/>
      <c r="Z95" s="49"/>
    </row>
    <row r="96" spans="1:26" x14ac:dyDescent="0.35">
      <c r="A96" s="49"/>
      <c r="B96" s="49"/>
      <c r="C96" s="49"/>
      <c r="D96" s="49"/>
      <c r="E96" s="49"/>
      <c r="F96" s="49"/>
      <c r="G96" s="49"/>
      <c r="H96" s="49"/>
      <c r="I96" s="49"/>
      <c r="J96" s="49"/>
      <c r="K96" s="49"/>
      <c r="L96" s="49"/>
      <c r="M96" s="49"/>
      <c r="N96" s="49"/>
      <c r="O96" s="49"/>
      <c r="P96" s="49"/>
      <c r="Q96" s="49"/>
      <c r="R96" s="49"/>
      <c r="S96" s="49"/>
      <c r="T96" s="49"/>
      <c r="U96" s="49"/>
      <c r="V96" s="49"/>
      <c r="W96" s="49"/>
      <c r="X96" s="49"/>
      <c r="Y96" s="49"/>
      <c r="Z96" s="49"/>
    </row>
    <row r="97" spans="1:26" x14ac:dyDescent="0.35">
      <c r="A97" s="49"/>
      <c r="B97" s="49"/>
      <c r="C97" s="49"/>
      <c r="D97" s="49"/>
      <c r="E97" s="49"/>
      <c r="F97" s="49"/>
      <c r="G97" s="49"/>
      <c r="H97" s="49"/>
      <c r="I97" s="49"/>
      <c r="J97" s="49"/>
      <c r="K97" s="49"/>
      <c r="L97" s="49"/>
      <c r="M97" s="49"/>
      <c r="N97" s="49"/>
      <c r="O97" s="49"/>
      <c r="P97" s="49"/>
      <c r="Q97" s="49"/>
      <c r="R97" s="49"/>
      <c r="S97" s="49"/>
      <c r="T97" s="49"/>
      <c r="U97" s="49"/>
      <c r="V97" s="49"/>
      <c r="W97" s="49"/>
      <c r="X97" s="49"/>
      <c r="Y97" s="49"/>
      <c r="Z97" s="49"/>
    </row>
    <row r="98" spans="1:26" x14ac:dyDescent="0.35">
      <c r="A98" s="49"/>
      <c r="B98" s="49"/>
      <c r="C98" s="49"/>
      <c r="D98" s="49"/>
      <c r="E98" s="49"/>
      <c r="F98" s="49"/>
      <c r="G98" s="49"/>
      <c r="H98" s="49"/>
      <c r="I98" s="49"/>
      <c r="J98" s="49"/>
      <c r="K98" s="49"/>
      <c r="L98" s="49"/>
      <c r="M98" s="49"/>
      <c r="N98" s="49"/>
      <c r="O98" s="49"/>
      <c r="P98" s="49"/>
      <c r="Q98" s="49"/>
      <c r="R98" s="49"/>
      <c r="S98" s="49"/>
      <c r="T98" s="49"/>
      <c r="U98" s="49"/>
      <c r="V98" s="49"/>
      <c r="W98" s="49"/>
      <c r="X98" s="49"/>
      <c r="Y98" s="49"/>
      <c r="Z98" s="49"/>
    </row>
    <row r="99" spans="1:26" x14ac:dyDescent="0.35">
      <c r="A99" s="49"/>
      <c r="B99" s="49"/>
      <c r="C99" s="49"/>
      <c r="D99" s="49"/>
      <c r="E99" s="49"/>
      <c r="F99" s="49"/>
      <c r="G99" s="49"/>
      <c r="H99" s="49"/>
      <c r="I99" s="49"/>
      <c r="J99" s="49"/>
      <c r="K99" s="49"/>
      <c r="L99" s="49"/>
      <c r="M99" s="49"/>
      <c r="N99" s="49"/>
      <c r="O99" s="49"/>
      <c r="P99" s="49"/>
      <c r="Q99" s="49"/>
      <c r="R99" s="49"/>
      <c r="S99" s="49"/>
      <c r="T99" s="49"/>
      <c r="U99" s="49"/>
      <c r="V99" s="49"/>
      <c r="W99" s="49"/>
      <c r="X99" s="49"/>
      <c r="Y99" s="49"/>
      <c r="Z99" s="49"/>
    </row>
    <row r="100" spans="1:26" x14ac:dyDescent="0.35">
      <c r="A100" s="49"/>
      <c r="B100" s="49"/>
      <c r="C100" s="49"/>
      <c r="D100" s="49"/>
      <c r="E100" s="49"/>
      <c r="F100" s="49"/>
      <c r="G100" s="49"/>
      <c r="H100" s="49"/>
      <c r="I100" s="49"/>
      <c r="J100" s="49"/>
      <c r="K100" s="49"/>
      <c r="L100" s="49"/>
      <c r="M100" s="49"/>
      <c r="N100" s="49"/>
      <c r="O100" s="49"/>
      <c r="P100" s="49"/>
      <c r="Q100" s="49"/>
      <c r="R100" s="49"/>
      <c r="S100" s="49"/>
      <c r="T100" s="49"/>
      <c r="U100" s="49"/>
      <c r="V100" s="49"/>
      <c r="W100" s="49"/>
      <c r="X100" s="49"/>
      <c r="Y100" s="49"/>
      <c r="Z100" s="49"/>
    </row>
    <row r="101" spans="1:26" x14ac:dyDescent="0.35">
      <c r="A101" s="49"/>
      <c r="B101" s="49"/>
      <c r="C101" s="49"/>
      <c r="D101" s="49"/>
      <c r="E101" s="49"/>
      <c r="F101" s="49"/>
      <c r="G101" s="49"/>
      <c r="H101" s="49"/>
      <c r="I101" s="49"/>
      <c r="J101" s="49"/>
      <c r="K101" s="49"/>
      <c r="L101" s="49"/>
      <c r="M101" s="49"/>
      <c r="N101" s="49"/>
      <c r="O101" s="49"/>
      <c r="P101" s="49"/>
      <c r="Q101" s="49"/>
      <c r="R101" s="49"/>
      <c r="S101" s="49"/>
      <c r="T101" s="49"/>
      <c r="U101" s="49"/>
      <c r="V101" s="49"/>
      <c r="W101" s="49"/>
      <c r="X101" s="49"/>
      <c r="Y101" s="49"/>
      <c r="Z101" s="49"/>
    </row>
    <row r="102" spans="1:26" x14ac:dyDescent="0.35">
      <c r="A102" s="49"/>
      <c r="B102" s="49"/>
      <c r="C102" s="49"/>
      <c r="D102" s="49"/>
      <c r="E102" s="49"/>
      <c r="F102" s="49"/>
      <c r="G102" s="49"/>
      <c r="H102" s="49"/>
      <c r="I102" s="49"/>
      <c r="J102" s="49"/>
      <c r="K102" s="49"/>
      <c r="L102" s="49"/>
      <c r="M102" s="49"/>
      <c r="N102" s="49"/>
      <c r="O102" s="49"/>
      <c r="P102" s="49"/>
      <c r="Q102" s="49"/>
      <c r="R102" s="49"/>
      <c r="S102" s="49"/>
      <c r="T102" s="49"/>
      <c r="U102" s="49"/>
      <c r="V102" s="49"/>
      <c r="W102" s="49"/>
      <c r="X102" s="49"/>
      <c r="Y102" s="49"/>
      <c r="Z102" s="49"/>
    </row>
    <row r="103" spans="1:26" x14ac:dyDescent="0.35">
      <c r="A103" s="49"/>
      <c r="B103" s="49"/>
      <c r="C103" s="49"/>
      <c r="D103" s="49"/>
      <c r="E103" s="49"/>
      <c r="F103" s="49"/>
      <c r="G103" s="49"/>
      <c r="H103" s="49"/>
      <c r="I103" s="49"/>
      <c r="J103" s="49"/>
      <c r="K103" s="49"/>
      <c r="L103" s="49"/>
      <c r="M103" s="49"/>
      <c r="N103" s="49"/>
      <c r="O103" s="49"/>
      <c r="P103" s="49"/>
      <c r="Q103" s="49"/>
      <c r="R103" s="49"/>
      <c r="S103" s="49"/>
      <c r="T103" s="49"/>
      <c r="U103" s="49"/>
      <c r="V103" s="49"/>
      <c r="W103" s="49"/>
      <c r="X103" s="49"/>
      <c r="Y103" s="49"/>
      <c r="Z103" s="49"/>
    </row>
    <row r="104" spans="1:26" x14ac:dyDescent="0.35">
      <c r="A104" s="49"/>
      <c r="B104" s="49"/>
      <c r="C104" s="49"/>
      <c r="D104" s="49"/>
      <c r="E104" s="49"/>
      <c r="F104" s="49"/>
      <c r="G104" s="49"/>
      <c r="H104" s="49"/>
      <c r="I104" s="49"/>
      <c r="J104" s="49"/>
      <c r="K104" s="49"/>
      <c r="L104" s="49"/>
      <c r="M104" s="49"/>
      <c r="N104" s="49"/>
      <c r="O104" s="49"/>
      <c r="P104" s="49"/>
      <c r="Q104" s="49"/>
      <c r="R104" s="49"/>
      <c r="S104" s="49"/>
      <c r="T104" s="49"/>
      <c r="U104" s="49"/>
      <c r="V104" s="49"/>
      <c r="W104" s="49"/>
      <c r="X104" s="49"/>
      <c r="Y104" s="49"/>
      <c r="Z104" s="49"/>
    </row>
    <row r="105" spans="1:26" x14ac:dyDescent="0.35">
      <c r="A105" s="49"/>
      <c r="B105" s="49"/>
      <c r="C105" s="49"/>
      <c r="D105" s="49"/>
      <c r="E105" s="49"/>
      <c r="F105" s="49"/>
      <c r="G105" s="49"/>
      <c r="H105" s="49"/>
      <c r="I105" s="49"/>
      <c r="J105" s="49"/>
      <c r="K105" s="49"/>
      <c r="L105" s="49"/>
      <c r="M105" s="49"/>
      <c r="N105" s="49"/>
      <c r="O105" s="49"/>
      <c r="P105" s="49"/>
      <c r="Q105" s="49"/>
      <c r="R105" s="49"/>
      <c r="S105" s="49"/>
      <c r="T105" s="49"/>
      <c r="U105" s="49"/>
      <c r="V105" s="49"/>
      <c r="W105" s="49"/>
      <c r="X105" s="49"/>
      <c r="Y105" s="49"/>
      <c r="Z105" s="49"/>
    </row>
    <row r="106" spans="1:26" x14ac:dyDescent="0.35">
      <c r="A106" s="49"/>
      <c r="B106" s="49"/>
      <c r="C106" s="49"/>
      <c r="D106" s="49"/>
      <c r="E106" s="49"/>
      <c r="F106" s="49"/>
      <c r="G106" s="49"/>
      <c r="H106" s="49"/>
      <c r="I106" s="49"/>
      <c r="J106" s="49"/>
      <c r="K106" s="49"/>
      <c r="L106" s="49"/>
      <c r="M106" s="49"/>
      <c r="N106" s="49"/>
      <c r="O106" s="49"/>
      <c r="P106" s="49"/>
      <c r="Q106" s="49"/>
      <c r="R106" s="49"/>
      <c r="S106" s="49"/>
      <c r="T106" s="49"/>
      <c r="U106" s="49"/>
      <c r="V106" s="49"/>
      <c r="W106" s="49"/>
      <c r="X106" s="49"/>
      <c r="Y106" s="49"/>
      <c r="Z106" s="49"/>
    </row>
    <row r="107" spans="1:26" x14ac:dyDescent="0.35">
      <c r="A107" s="49"/>
      <c r="B107" s="49"/>
      <c r="C107" s="49"/>
      <c r="D107" s="49"/>
      <c r="E107" s="49"/>
      <c r="F107" s="49"/>
      <c r="G107" s="49"/>
      <c r="H107" s="49"/>
      <c r="I107" s="49"/>
      <c r="J107" s="49"/>
      <c r="K107" s="49"/>
      <c r="L107" s="49"/>
      <c r="M107" s="49"/>
      <c r="N107" s="49"/>
      <c r="O107" s="49"/>
      <c r="P107" s="49"/>
      <c r="Q107" s="49"/>
      <c r="R107" s="49"/>
      <c r="S107" s="49"/>
      <c r="T107" s="49"/>
      <c r="U107" s="49"/>
      <c r="V107" s="49"/>
      <c r="W107" s="49"/>
      <c r="X107" s="49"/>
      <c r="Y107" s="49"/>
      <c r="Z107" s="49"/>
    </row>
    <row r="108" spans="1:26" x14ac:dyDescent="0.35">
      <c r="A108" s="49"/>
      <c r="B108" s="49"/>
      <c r="C108" s="49"/>
      <c r="D108" s="49"/>
      <c r="E108" s="49"/>
      <c r="F108" s="49"/>
      <c r="G108" s="49"/>
      <c r="H108" s="49"/>
      <c r="I108" s="49"/>
      <c r="J108" s="49"/>
      <c r="K108" s="49"/>
      <c r="L108" s="49"/>
      <c r="M108" s="49"/>
      <c r="N108" s="49"/>
      <c r="O108" s="49"/>
      <c r="P108" s="49"/>
      <c r="Q108" s="49"/>
      <c r="R108" s="49"/>
      <c r="S108" s="49"/>
      <c r="T108" s="49"/>
      <c r="U108" s="49"/>
      <c r="V108" s="49"/>
      <c r="W108" s="49"/>
      <c r="X108" s="49"/>
      <c r="Y108" s="49"/>
      <c r="Z108" s="49"/>
    </row>
    <row r="109" spans="1:26" x14ac:dyDescent="0.35">
      <c r="A109" s="49"/>
      <c r="B109" s="49"/>
      <c r="C109" s="49"/>
      <c r="D109" s="49"/>
      <c r="E109" s="49"/>
      <c r="F109" s="49"/>
      <c r="G109" s="49"/>
      <c r="H109" s="49"/>
      <c r="I109" s="49"/>
      <c r="J109" s="49"/>
      <c r="K109" s="49"/>
      <c r="L109" s="49"/>
      <c r="M109" s="49"/>
      <c r="N109" s="49"/>
      <c r="O109" s="49"/>
      <c r="P109" s="49"/>
      <c r="Q109" s="49"/>
      <c r="R109" s="49"/>
      <c r="S109" s="49"/>
      <c r="T109" s="49"/>
      <c r="U109" s="49"/>
      <c r="V109" s="49"/>
      <c r="W109" s="49"/>
      <c r="X109" s="49"/>
      <c r="Y109" s="49"/>
      <c r="Z109" s="49"/>
    </row>
    <row r="110" spans="1:26" x14ac:dyDescent="0.35">
      <c r="A110" s="49"/>
      <c r="B110" s="49"/>
      <c r="C110" s="49"/>
      <c r="D110" s="49"/>
      <c r="E110" s="49"/>
      <c r="F110" s="49"/>
      <c r="G110" s="49"/>
      <c r="H110" s="49"/>
      <c r="I110" s="49"/>
      <c r="J110" s="49"/>
      <c r="K110" s="49"/>
      <c r="L110" s="49"/>
      <c r="M110" s="49"/>
      <c r="N110" s="49"/>
      <c r="O110" s="49"/>
      <c r="P110" s="49"/>
      <c r="Q110" s="49"/>
      <c r="R110" s="49"/>
      <c r="S110" s="49"/>
      <c r="T110" s="49"/>
      <c r="U110" s="49"/>
      <c r="V110" s="49"/>
      <c r="W110" s="49"/>
      <c r="X110" s="49"/>
      <c r="Y110" s="49"/>
      <c r="Z110" s="49"/>
    </row>
    <row r="111" spans="1:26" x14ac:dyDescent="0.35">
      <c r="A111" s="49"/>
      <c r="B111" s="49"/>
      <c r="C111" s="49"/>
      <c r="D111" s="49"/>
      <c r="E111" s="49"/>
      <c r="F111" s="49"/>
      <c r="G111" s="49"/>
      <c r="H111" s="49"/>
      <c r="I111" s="49"/>
      <c r="J111" s="49"/>
      <c r="K111" s="49"/>
      <c r="L111" s="49"/>
      <c r="M111" s="49"/>
      <c r="N111" s="49"/>
      <c r="O111" s="49"/>
      <c r="P111" s="49"/>
      <c r="Q111" s="49"/>
      <c r="R111" s="49"/>
      <c r="S111" s="49"/>
      <c r="T111" s="49"/>
      <c r="U111" s="49"/>
      <c r="V111" s="49"/>
      <c r="W111" s="49"/>
      <c r="X111" s="49"/>
      <c r="Y111" s="49"/>
      <c r="Z111" s="49"/>
    </row>
    <row r="112" spans="1:26" x14ac:dyDescent="0.35">
      <c r="A112" s="49"/>
      <c r="B112" s="49"/>
      <c r="C112" s="49"/>
      <c r="D112" s="49"/>
      <c r="E112" s="49"/>
      <c r="F112" s="49"/>
      <c r="G112" s="49"/>
      <c r="H112" s="49"/>
      <c r="I112" s="49"/>
      <c r="J112" s="49"/>
      <c r="K112" s="49"/>
      <c r="L112" s="49"/>
      <c r="M112" s="49"/>
      <c r="N112" s="49"/>
      <c r="O112" s="49"/>
      <c r="P112" s="49"/>
      <c r="Q112" s="49"/>
      <c r="R112" s="49"/>
      <c r="S112" s="49"/>
      <c r="T112" s="49"/>
      <c r="U112" s="49"/>
      <c r="V112" s="49"/>
      <c r="W112" s="49"/>
      <c r="X112" s="49"/>
      <c r="Y112" s="49"/>
      <c r="Z112" s="49"/>
    </row>
    <row r="113" spans="1:26" x14ac:dyDescent="0.35">
      <c r="A113" s="49"/>
      <c r="B113" s="49"/>
      <c r="C113" s="49"/>
      <c r="D113" s="49"/>
      <c r="E113" s="49"/>
      <c r="F113" s="49"/>
      <c r="G113" s="49"/>
      <c r="H113" s="49"/>
      <c r="I113" s="49"/>
      <c r="J113" s="49"/>
      <c r="K113" s="49"/>
      <c r="L113" s="49"/>
      <c r="M113" s="49"/>
      <c r="N113" s="49"/>
      <c r="O113" s="49"/>
      <c r="P113" s="49"/>
      <c r="Q113" s="49"/>
      <c r="R113" s="49"/>
      <c r="S113" s="49"/>
      <c r="T113" s="49"/>
      <c r="U113" s="49"/>
      <c r="V113" s="49"/>
      <c r="W113" s="49"/>
      <c r="X113" s="49"/>
      <c r="Y113" s="49"/>
      <c r="Z113" s="49"/>
    </row>
    <row r="114" spans="1:26" x14ac:dyDescent="0.35">
      <c r="A114" s="49"/>
      <c r="B114" s="49"/>
      <c r="C114" s="49"/>
      <c r="D114" s="49"/>
      <c r="E114" s="49"/>
      <c r="F114" s="49"/>
      <c r="G114" s="49"/>
      <c r="H114" s="49"/>
      <c r="I114" s="49"/>
      <c r="J114" s="49"/>
      <c r="K114" s="49"/>
      <c r="L114" s="49"/>
      <c r="M114" s="49"/>
      <c r="N114" s="49"/>
      <c r="O114" s="49"/>
      <c r="P114" s="49"/>
      <c r="Q114" s="49"/>
      <c r="R114" s="49"/>
      <c r="S114" s="49"/>
      <c r="T114" s="49"/>
      <c r="U114" s="49"/>
      <c r="V114" s="49"/>
      <c r="W114" s="49"/>
      <c r="X114" s="49"/>
      <c r="Y114" s="49"/>
      <c r="Z114" s="49"/>
    </row>
    <row r="115" spans="1:26" x14ac:dyDescent="0.35">
      <c r="A115" s="49"/>
      <c r="B115" s="49"/>
      <c r="C115" s="49"/>
      <c r="D115" s="49"/>
      <c r="E115" s="49"/>
      <c r="F115" s="49"/>
      <c r="G115" s="49"/>
      <c r="H115" s="49"/>
      <c r="I115" s="49"/>
      <c r="J115" s="49"/>
      <c r="K115" s="49"/>
      <c r="L115" s="49"/>
      <c r="M115" s="49"/>
      <c r="N115" s="49"/>
      <c r="O115" s="49"/>
      <c r="P115" s="49"/>
      <c r="Q115" s="49"/>
      <c r="R115" s="49"/>
      <c r="S115" s="49"/>
      <c r="T115" s="49"/>
      <c r="U115" s="49"/>
      <c r="V115" s="49"/>
      <c r="W115" s="49"/>
      <c r="X115" s="49"/>
      <c r="Y115" s="49"/>
      <c r="Z115" s="49"/>
    </row>
    <row r="116" spans="1:26" x14ac:dyDescent="0.35">
      <c r="A116" s="49"/>
      <c r="B116" s="49"/>
      <c r="C116" s="49"/>
      <c r="D116" s="49"/>
      <c r="E116" s="49"/>
      <c r="F116" s="49"/>
      <c r="G116" s="49"/>
      <c r="H116" s="49"/>
      <c r="I116" s="49"/>
      <c r="J116" s="49"/>
      <c r="K116" s="49"/>
      <c r="L116" s="49"/>
      <c r="M116" s="49"/>
      <c r="N116" s="49"/>
      <c r="O116" s="49"/>
      <c r="P116" s="49"/>
      <c r="Q116" s="49"/>
      <c r="R116" s="49"/>
      <c r="S116" s="49"/>
      <c r="T116" s="49"/>
      <c r="U116" s="49"/>
      <c r="V116" s="49"/>
      <c r="W116" s="49"/>
      <c r="X116" s="49"/>
      <c r="Y116" s="49"/>
      <c r="Z116" s="49"/>
    </row>
    <row r="117" spans="1:26" x14ac:dyDescent="0.35">
      <c r="A117" s="49"/>
      <c r="B117" s="49"/>
      <c r="C117" s="49"/>
      <c r="D117" s="49"/>
      <c r="E117" s="49"/>
      <c r="F117" s="49"/>
      <c r="G117" s="49"/>
      <c r="H117" s="49"/>
      <c r="I117" s="49"/>
      <c r="J117" s="49"/>
      <c r="K117" s="49"/>
      <c r="L117" s="49"/>
      <c r="M117" s="49"/>
      <c r="N117" s="49"/>
      <c r="O117" s="49"/>
      <c r="P117" s="49"/>
      <c r="Q117" s="49"/>
      <c r="R117" s="49"/>
      <c r="S117" s="49"/>
      <c r="T117" s="49"/>
      <c r="U117" s="49"/>
      <c r="V117" s="49"/>
      <c r="W117" s="49"/>
      <c r="X117" s="49"/>
      <c r="Y117" s="49"/>
      <c r="Z117" s="49"/>
    </row>
    <row r="118" spans="1:26" x14ac:dyDescent="0.35">
      <c r="A118" s="49"/>
      <c r="B118" s="49"/>
      <c r="C118" s="49"/>
      <c r="D118" s="49"/>
      <c r="E118" s="49"/>
      <c r="F118" s="49"/>
      <c r="G118" s="49"/>
      <c r="H118" s="49"/>
      <c r="I118" s="49"/>
      <c r="J118" s="49"/>
      <c r="K118" s="49"/>
      <c r="L118" s="49"/>
      <c r="M118" s="49"/>
      <c r="N118" s="49"/>
      <c r="O118" s="49"/>
      <c r="P118" s="49"/>
      <c r="Q118" s="49"/>
      <c r="R118" s="49"/>
      <c r="S118" s="49"/>
      <c r="T118" s="49"/>
      <c r="U118" s="49"/>
      <c r="V118" s="49"/>
      <c r="W118" s="49"/>
      <c r="X118" s="49"/>
      <c r="Y118" s="49"/>
      <c r="Z118" s="49"/>
    </row>
    <row r="119" spans="1:26" x14ac:dyDescent="0.35">
      <c r="A119" s="49"/>
      <c r="B119" s="49"/>
      <c r="C119" s="49"/>
      <c r="D119" s="49"/>
      <c r="E119" s="49"/>
      <c r="F119" s="49"/>
      <c r="G119" s="49"/>
      <c r="H119" s="49"/>
      <c r="I119" s="49"/>
      <c r="J119" s="49"/>
      <c r="K119" s="49"/>
      <c r="L119" s="49"/>
      <c r="M119" s="49"/>
      <c r="N119" s="49"/>
      <c r="O119" s="49"/>
      <c r="P119" s="49"/>
      <c r="Q119" s="49"/>
      <c r="R119" s="49"/>
      <c r="S119" s="49"/>
      <c r="T119" s="49"/>
      <c r="U119" s="49"/>
      <c r="V119" s="49"/>
      <c r="W119" s="49"/>
      <c r="X119" s="49"/>
      <c r="Y119" s="49"/>
      <c r="Z119" s="49"/>
    </row>
    <row r="120" spans="1:26" x14ac:dyDescent="0.35">
      <c r="A120" s="49"/>
      <c r="B120" s="49"/>
      <c r="C120" s="49"/>
      <c r="D120" s="49"/>
      <c r="E120" s="49"/>
      <c r="F120" s="49"/>
      <c r="G120" s="49"/>
      <c r="H120" s="49"/>
      <c r="I120" s="49"/>
      <c r="J120" s="49"/>
      <c r="K120" s="49"/>
      <c r="L120" s="49"/>
      <c r="M120" s="49"/>
      <c r="N120" s="49"/>
      <c r="O120" s="49"/>
      <c r="P120" s="49"/>
      <c r="Q120" s="49"/>
      <c r="R120" s="49"/>
      <c r="S120" s="49"/>
      <c r="T120" s="49"/>
      <c r="U120" s="49"/>
      <c r="V120" s="49"/>
      <c r="W120" s="49"/>
      <c r="X120" s="49"/>
      <c r="Y120" s="49"/>
      <c r="Z120" s="49"/>
    </row>
    <row r="121" spans="1:26" x14ac:dyDescent="0.35">
      <c r="A121" s="49"/>
      <c r="B121" s="49"/>
      <c r="C121" s="49"/>
      <c r="D121" s="49"/>
      <c r="E121" s="49"/>
      <c r="F121" s="49"/>
      <c r="G121" s="49"/>
      <c r="H121" s="49"/>
      <c r="I121" s="49"/>
      <c r="J121" s="49"/>
      <c r="K121" s="49"/>
      <c r="L121" s="49"/>
      <c r="M121" s="49"/>
      <c r="N121" s="49"/>
      <c r="O121" s="49"/>
      <c r="P121" s="49"/>
      <c r="Q121" s="49"/>
      <c r="R121" s="49"/>
      <c r="S121" s="49"/>
      <c r="T121" s="49"/>
      <c r="U121" s="49"/>
      <c r="V121" s="49"/>
      <c r="W121" s="49"/>
      <c r="X121" s="49"/>
      <c r="Y121" s="49"/>
      <c r="Z121" s="49"/>
    </row>
    <row r="122" spans="1:26" x14ac:dyDescent="0.35">
      <c r="A122" s="49"/>
      <c r="B122" s="49"/>
      <c r="C122" s="49"/>
      <c r="D122" s="49"/>
      <c r="E122" s="49"/>
      <c r="F122" s="49"/>
      <c r="G122" s="49"/>
      <c r="H122" s="49"/>
      <c r="I122" s="49"/>
      <c r="J122" s="49"/>
      <c r="K122" s="49"/>
      <c r="L122" s="49"/>
      <c r="M122" s="49"/>
      <c r="N122" s="49"/>
      <c r="O122" s="49"/>
      <c r="P122" s="49"/>
      <c r="Q122" s="49"/>
      <c r="R122" s="49"/>
      <c r="S122" s="49"/>
      <c r="T122" s="49"/>
      <c r="U122" s="49"/>
      <c r="V122" s="49"/>
      <c r="W122" s="49"/>
      <c r="X122" s="49"/>
      <c r="Y122" s="49"/>
      <c r="Z122" s="49"/>
    </row>
    <row r="123" spans="1:26" x14ac:dyDescent="0.35">
      <c r="A123" s="49"/>
      <c r="B123" s="49"/>
      <c r="C123" s="49"/>
      <c r="D123" s="49"/>
      <c r="E123" s="49"/>
      <c r="F123" s="49"/>
      <c r="G123" s="49"/>
      <c r="H123" s="49"/>
      <c r="I123" s="49"/>
      <c r="J123" s="49"/>
      <c r="K123" s="49"/>
      <c r="L123" s="49"/>
      <c r="M123" s="49"/>
      <c r="N123" s="49"/>
      <c r="O123" s="49"/>
      <c r="P123" s="49"/>
      <c r="Q123" s="49"/>
      <c r="R123" s="49"/>
      <c r="S123" s="49"/>
      <c r="T123" s="49"/>
      <c r="U123" s="49"/>
      <c r="V123" s="49"/>
      <c r="W123" s="49"/>
      <c r="X123" s="49"/>
      <c r="Y123" s="49"/>
      <c r="Z123" s="49"/>
    </row>
    <row r="124" spans="1:26" x14ac:dyDescent="0.35">
      <c r="A124" s="49"/>
      <c r="B124" s="49"/>
      <c r="C124" s="49"/>
      <c r="D124" s="49"/>
      <c r="E124" s="49"/>
      <c r="F124" s="49"/>
      <c r="G124" s="49"/>
      <c r="H124" s="49"/>
      <c r="I124" s="49"/>
      <c r="J124" s="49"/>
      <c r="K124" s="49"/>
      <c r="L124" s="49"/>
      <c r="M124" s="49"/>
      <c r="N124" s="49"/>
      <c r="O124" s="49"/>
      <c r="P124" s="49"/>
      <c r="Q124" s="49"/>
      <c r="R124" s="49"/>
      <c r="S124" s="49"/>
      <c r="T124" s="49"/>
      <c r="U124" s="49"/>
      <c r="V124" s="49"/>
      <c r="W124" s="49"/>
      <c r="X124" s="49"/>
      <c r="Y124" s="49"/>
      <c r="Z124" s="49"/>
    </row>
    <row r="125" spans="1:26" x14ac:dyDescent="0.35">
      <c r="A125" s="49"/>
      <c r="B125" s="49"/>
      <c r="C125" s="49"/>
      <c r="D125" s="49"/>
      <c r="E125" s="49"/>
      <c r="F125" s="49"/>
      <c r="G125" s="49"/>
      <c r="H125" s="49"/>
      <c r="I125" s="49"/>
      <c r="J125" s="49"/>
      <c r="K125" s="49"/>
      <c r="L125" s="49"/>
      <c r="M125" s="49"/>
      <c r="N125" s="49"/>
      <c r="O125" s="49"/>
      <c r="P125" s="49"/>
      <c r="Q125" s="49"/>
      <c r="R125" s="49"/>
      <c r="S125" s="49"/>
      <c r="T125" s="49"/>
      <c r="U125" s="49"/>
      <c r="V125" s="49"/>
      <c r="W125" s="49"/>
      <c r="X125" s="49"/>
      <c r="Y125" s="49"/>
      <c r="Z125" s="49"/>
    </row>
    <row r="126" spans="1:26" x14ac:dyDescent="0.35">
      <c r="A126" s="49"/>
      <c r="B126" s="49"/>
      <c r="C126" s="49"/>
      <c r="D126" s="49"/>
      <c r="E126" s="49"/>
      <c r="F126" s="49"/>
      <c r="G126" s="49"/>
      <c r="H126" s="49"/>
      <c r="I126" s="49"/>
      <c r="J126" s="49"/>
      <c r="K126" s="49"/>
      <c r="L126" s="49"/>
      <c r="M126" s="49"/>
      <c r="N126" s="49"/>
      <c r="O126" s="49"/>
      <c r="P126" s="49"/>
      <c r="Q126" s="49"/>
      <c r="R126" s="49"/>
      <c r="S126" s="49"/>
      <c r="T126" s="49"/>
      <c r="U126" s="49"/>
      <c r="V126" s="49"/>
      <c r="W126" s="49"/>
      <c r="X126" s="49"/>
      <c r="Y126" s="49"/>
      <c r="Z126" s="49"/>
    </row>
    <row r="127" spans="1:26" x14ac:dyDescent="0.35">
      <c r="A127" s="49"/>
      <c r="B127" s="49"/>
      <c r="C127" s="49"/>
      <c r="D127" s="49"/>
      <c r="E127" s="49"/>
      <c r="F127" s="49"/>
      <c r="G127" s="49"/>
      <c r="H127" s="49"/>
      <c r="I127" s="49"/>
      <c r="J127" s="49"/>
      <c r="K127" s="49"/>
      <c r="L127" s="49"/>
      <c r="M127" s="49"/>
      <c r="N127" s="49"/>
      <c r="O127" s="49"/>
      <c r="P127" s="49"/>
      <c r="Q127" s="49"/>
      <c r="R127" s="49"/>
      <c r="S127" s="49"/>
      <c r="T127" s="49"/>
      <c r="U127" s="49"/>
      <c r="V127" s="49"/>
      <c r="W127" s="49"/>
      <c r="X127" s="49"/>
      <c r="Y127" s="49"/>
      <c r="Z127" s="49"/>
    </row>
    <row r="128" spans="1:26" x14ac:dyDescent="0.35">
      <c r="A128" s="49"/>
      <c r="B128" s="49"/>
      <c r="C128" s="49"/>
      <c r="D128" s="49"/>
      <c r="E128" s="49"/>
      <c r="F128" s="49"/>
      <c r="G128" s="49"/>
      <c r="H128" s="49"/>
      <c r="I128" s="49"/>
      <c r="J128" s="49"/>
      <c r="K128" s="49"/>
      <c r="L128" s="49"/>
      <c r="M128" s="49"/>
      <c r="N128" s="49"/>
      <c r="O128" s="49"/>
      <c r="P128" s="49"/>
      <c r="Q128" s="49"/>
      <c r="R128" s="49"/>
      <c r="S128" s="49"/>
      <c r="T128" s="49"/>
      <c r="U128" s="49"/>
      <c r="V128" s="49"/>
      <c r="W128" s="49"/>
      <c r="X128" s="49"/>
      <c r="Y128" s="49"/>
      <c r="Z128" s="49"/>
    </row>
    <row r="129" spans="1:26" x14ac:dyDescent="0.35">
      <c r="A129" s="49"/>
      <c r="B129" s="49"/>
      <c r="C129" s="49"/>
      <c r="D129" s="49"/>
      <c r="E129" s="49"/>
      <c r="F129" s="49"/>
      <c r="G129" s="49"/>
      <c r="H129" s="49"/>
      <c r="I129" s="49"/>
      <c r="J129" s="49"/>
      <c r="K129" s="49"/>
      <c r="L129" s="49"/>
      <c r="M129" s="49"/>
      <c r="N129" s="49"/>
      <c r="O129" s="49"/>
      <c r="P129" s="49"/>
      <c r="Q129" s="49"/>
      <c r="R129" s="49"/>
      <c r="S129" s="49"/>
      <c r="T129" s="49"/>
      <c r="U129" s="49"/>
      <c r="V129" s="49"/>
      <c r="W129" s="49"/>
      <c r="X129" s="49"/>
      <c r="Y129" s="49"/>
      <c r="Z129" s="49"/>
    </row>
    <row r="130" spans="1:26" x14ac:dyDescent="0.35">
      <c r="A130" s="49"/>
      <c r="B130" s="49"/>
      <c r="C130" s="49"/>
      <c r="D130" s="49"/>
      <c r="E130" s="49"/>
      <c r="F130" s="49"/>
      <c r="G130" s="49"/>
      <c r="H130" s="49"/>
      <c r="I130" s="49"/>
      <c r="J130" s="49"/>
      <c r="K130" s="49"/>
      <c r="L130" s="49"/>
      <c r="M130" s="49"/>
      <c r="N130" s="49"/>
      <c r="O130" s="49"/>
      <c r="P130" s="49"/>
      <c r="Q130" s="49"/>
      <c r="R130" s="49"/>
      <c r="S130" s="49"/>
      <c r="T130" s="49"/>
      <c r="U130" s="49"/>
      <c r="V130" s="49"/>
      <c r="W130" s="49"/>
      <c r="X130" s="49"/>
      <c r="Y130" s="49"/>
      <c r="Z130" s="49"/>
    </row>
    <row r="131" spans="1:26" x14ac:dyDescent="0.35">
      <c r="A131" s="49"/>
      <c r="B131" s="49"/>
      <c r="C131" s="49"/>
      <c r="D131" s="49"/>
      <c r="E131" s="49"/>
      <c r="F131" s="49"/>
      <c r="G131" s="49"/>
      <c r="H131" s="49"/>
      <c r="I131" s="49"/>
      <c r="J131" s="49"/>
      <c r="K131" s="49"/>
      <c r="L131" s="49"/>
      <c r="M131" s="49"/>
      <c r="N131" s="49"/>
      <c r="O131" s="49"/>
      <c r="P131" s="49"/>
      <c r="Q131" s="49"/>
      <c r="R131" s="49"/>
      <c r="S131" s="49"/>
      <c r="T131" s="49"/>
      <c r="U131" s="49"/>
      <c r="V131" s="49"/>
      <c r="W131" s="49"/>
      <c r="X131" s="49"/>
      <c r="Y131" s="49"/>
      <c r="Z131" s="49"/>
    </row>
    <row r="132" spans="1:26" x14ac:dyDescent="0.35">
      <c r="A132" s="49"/>
      <c r="B132" s="49"/>
      <c r="C132" s="49"/>
      <c r="D132" s="49"/>
      <c r="E132" s="49"/>
      <c r="F132" s="49"/>
      <c r="G132" s="49"/>
      <c r="H132" s="49"/>
      <c r="I132" s="49"/>
      <c r="J132" s="49"/>
      <c r="K132" s="49"/>
      <c r="L132" s="49"/>
      <c r="M132" s="49"/>
      <c r="N132" s="49"/>
      <c r="O132" s="49"/>
      <c r="P132" s="49"/>
      <c r="Q132" s="49"/>
      <c r="R132" s="49"/>
      <c r="S132" s="49"/>
      <c r="T132" s="49"/>
      <c r="U132" s="49"/>
      <c r="V132" s="49"/>
      <c r="W132" s="49"/>
      <c r="X132" s="49"/>
      <c r="Y132" s="49"/>
      <c r="Z132" s="49"/>
    </row>
    <row r="133" spans="1:26" x14ac:dyDescent="0.35">
      <c r="A133" s="49"/>
      <c r="B133" s="49"/>
      <c r="C133" s="49"/>
      <c r="D133" s="49"/>
      <c r="E133" s="49"/>
      <c r="F133" s="49"/>
      <c r="G133" s="49"/>
      <c r="H133" s="49"/>
      <c r="I133" s="49"/>
      <c r="J133" s="49"/>
      <c r="K133" s="49"/>
      <c r="L133" s="49"/>
      <c r="M133" s="49"/>
      <c r="N133" s="49"/>
      <c r="O133" s="49"/>
      <c r="P133" s="49"/>
      <c r="Q133" s="49"/>
      <c r="R133" s="49"/>
      <c r="S133" s="49"/>
      <c r="T133" s="49"/>
      <c r="U133" s="49"/>
      <c r="V133" s="49"/>
      <c r="W133" s="49"/>
      <c r="X133" s="49"/>
      <c r="Y133" s="49"/>
      <c r="Z133" s="49"/>
    </row>
    <row r="134" spans="1:26" x14ac:dyDescent="0.35">
      <c r="A134" s="49"/>
      <c r="B134" s="49"/>
      <c r="C134" s="49"/>
      <c r="D134" s="49"/>
      <c r="E134" s="49"/>
      <c r="F134" s="49"/>
      <c r="G134" s="49"/>
      <c r="H134" s="49"/>
      <c r="I134" s="49"/>
      <c r="J134" s="49"/>
      <c r="K134" s="49"/>
      <c r="L134" s="49"/>
      <c r="M134" s="49"/>
      <c r="N134" s="49"/>
      <c r="O134" s="49"/>
      <c r="P134" s="49"/>
      <c r="Q134" s="49"/>
      <c r="R134" s="49"/>
      <c r="S134" s="49"/>
      <c r="T134" s="49"/>
      <c r="U134" s="49"/>
      <c r="V134" s="49"/>
      <c r="W134" s="49"/>
      <c r="X134" s="49"/>
      <c r="Y134" s="49"/>
      <c r="Z134" s="49"/>
    </row>
    <row r="135" spans="1:26" x14ac:dyDescent="0.35">
      <c r="A135" s="49"/>
      <c r="B135" s="49"/>
      <c r="C135" s="49"/>
      <c r="D135" s="49"/>
      <c r="E135" s="49"/>
      <c r="F135" s="49"/>
      <c r="G135" s="49"/>
      <c r="H135" s="49"/>
      <c r="I135" s="49"/>
      <c r="J135" s="49"/>
      <c r="K135" s="49"/>
      <c r="L135" s="49"/>
      <c r="M135" s="49"/>
      <c r="N135" s="49"/>
      <c r="O135" s="49"/>
      <c r="P135" s="49"/>
      <c r="Q135" s="49"/>
      <c r="R135" s="49"/>
      <c r="S135" s="49"/>
      <c r="T135" s="49"/>
      <c r="U135" s="49"/>
      <c r="V135" s="49"/>
      <c r="W135" s="49"/>
      <c r="X135" s="49"/>
      <c r="Y135" s="49"/>
      <c r="Z135" s="49"/>
    </row>
    <row r="136" spans="1:26" x14ac:dyDescent="0.35">
      <c r="A136" s="49"/>
      <c r="B136" s="49"/>
      <c r="C136" s="49"/>
      <c r="D136" s="49"/>
      <c r="E136" s="49"/>
      <c r="F136" s="49"/>
      <c r="G136" s="49"/>
      <c r="H136" s="49"/>
      <c r="I136" s="49"/>
      <c r="J136" s="49"/>
      <c r="K136" s="49"/>
      <c r="L136" s="49"/>
      <c r="M136" s="49"/>
      <c r="N136" s="49"/>
      <c r="O136" s="49"/>
      <c r="P136" s="49"/>
      <c r="Q136" s="49"/>
      <c r="R136" s="49"/>
      <c r="S136" s="49"/>
      <c r="T136" s="49"/>
      <c r="U136" s="49"/>
      <c r="V136" s="49"/>
      <c r="W136" s="49"/>
      <c r="X136" s="49"/>
      <c r="Y136" s="49"/>
      <c r="Z136" s="49"/>
    </row>
    <row r="137" spans="1:26" x14ac:dyDescent="0.35">
      <c r="A137" s="49"/>
      <c r="B137" s="49"/>
      <c r="C137" s="49"/>
      <c r="D137" s="49"/>
      <c r="E137" s="49"/>
      <c r="F137" s="49"/>
      <c r="G137" s="49"/>
      <c r="H137" s="49"/>
      <c r="I137" s="49"/>
      <c r="J137" s="49"/>
      <c r="K137" s="49"/>
      <c r="L137" s="49"/>
      <c r="M137" s="49"/>
      <c r="N137" s="49"/>
      <c r="O137" s="49"/>
      <c r="P137" s="49"/>
      <c r="Q137" s="49"/>
      <c r="R137" s="49"/>
      <c r="S137" s="49"/>
      <c r="T137" s="49"/>
      <c r="U137" s="49"/>
      <c r="V137" s="49"/>
      <c r="W137" s="49"/>
      <c r="X137" s="49"/>
      <c r="Y137" s="49"/>
      <c r="Z137" s="49"/>
    </row>
    <row r="138" spans="1:26" x14ac:dyDescent="0.35">
      <c r="A138" s="49"/>
      <c r="B138" s="49"/>
      <c r="C138" s="49"/>
      <c r="D138" s="49"/>
      <c r="E138" s="49"/>
      <c r="F138" s="49"/>
      <c r="G138" s="49"/>
      <c r="H138" s="49"/>
      <c r="I138" s="49"/>
      <c r="J138" s="49"/>
      <c r="K138" s="49"/>
      <c r="L138" s="49"/>
      <c r="M138" s="49"/>
      <c r="N138" s="49"/>
      <c r="O138" s="49"/>
      <c r="P138" s="49"/>
      <c r="Q138" s="49"/>
      <c r="R138" s="49"/>
      <c r="S138" s="49"/>
      <c r="T138" s="49"/>
      <c r="U138" s="49"/>
      <c r="V138" s="49"/>
      <c r="W138" s="49"/>
      <c r="X138" s="49"/>
      <c r="Y138" s="49"/>
      <c r="Z138" s="49"/>
    </row>
    <row r="139" spans="1:26" x14ac:dyDescent="0.35">
      <c r="A139" s="49"/>
      <c r="B139" s="49"/>
      <c r="C139" s="49"/>
      <c r="D139" s="49"/>
      <c r="E139" s="49"/>
      <c r="F139" s="49"/>
      <c r="G139" s="49"/>
      <c r="H139" s="49"/>
      <c r="I139" s="49"/>
      <c r="J139" s="49"/>
      <c r="K139" s="49"/>
      <c r="L139" s="49"/>
      <c r="M139" s="49"/>
      <c r="N139" s="49"/>
      <c r="O139" s="49"/>
      <c r="P139" s="49"/>
      <c r="Q139" s="49"/>
      <c r="R139" s="49"/>
      <c r="S139" s="49"/>
      <c r="T139" s="49"/>
      <c r="U139" s="49"/>
      <c r="V139" s="49"/>
      <c r="W139" s="49"/>
      <c r="X139" s="49"/>
      <c r="Y139" s="49"/>
      <c r="Z139" s="49"/>
    </row>
    <row r="140" spans="1:26" x14ac:dyDescent="0.35">
      <c r="A140" s="49"/>
      <c r="B140" s="49"/>
      <c r="C140" s="49"/>
      <c r="D140" s="49"/>
      <c r="E140" s="49"/>
      <c r="F140" s="49"/>
      <c r="G140" s="49"/>
      <c r="H140" s="49"/>
      <c r="I140" s="49"/>
      <c r="J140" s="49"/>
      <c r="K140" s="49"/>
      <c r="L140" s="49"/>
      <c r="M140" s="49"/>
      <c r="N140" s="49"/>
      <c r="O140" s="49"/>
      <c r="P140" s="49"/>
      <c r="Q140" s="49"/>
      <c r="R140" s="49"/>
      <c r="S140" s="49"/>
      <c r="T140" s="49"/>
      <c r="U140" s="49"/>
      <c r="V140" s="49"/>
      <c r="W140" s="49"/>
      <c r="X140" s="49"/>
      <c r="Y140" s="49"/>
      <c r="Z140" s="49"/>
    </row>
    <row r="141" spans="1:26" x14ac:dyDescent="0.35">
      <c r="A141" s="49"/>
      <c r="B141" s="49"/>
      <c r="C141" s="49"/>
      <c r="D141" s="49"/>
      <c r="E141" s="49"/>
      <c r="F141" s="49"/>
      <c r="G141" s="49"/>
      <c r="H141" s="49"/>
      <c r="I141" s="49"/>
      <c r="J141" s="49"/>
      <c r="K141" s="49"/>
      <c r="L141" s="49"/>
      <c r="M141" s="49"/>
      <c r="N141" s="49"/>
      <c r="O141" s="49"/>
      <c r="P141" s="49"/>
      <c r="Q141" s="49"/>
      <c r="R141" s="49"/>
      <c r="S141" s="49"/>
      <c r="T141" s="49"/>
      <c r="U141" s="49"/>
      <c r="V141" s="49"/>
      <c r="W141" s="49"/>
      <c r="X141" s="49"/>
      <c r="Y141" s="49"/>
      <c r="Z141" s="49"/>
    </row>
    <row r="142" spans="1:26" x14ac:dyDescent="0.35">
      <c r="A142" s="49"/>
      <c r="B142" s="49"/>
      <c r="C142" s="49"/>
      <c r="D142" s="49"/>
      <c r="E142" s="49"/>
      <c r="F142" s="49"/>
      <c r="G142" s="49"/>
      <c r="H142" s="49"/>
      <c r="I142" s="49"/>
      <c r="J142" s="49"/>
      <c r="K142" s="49"/>
      <c r="L142" s="49"/>
      <c r="M142" s="49"/>
      <c r="N142" s="49"/>
      <c r="O142" s="49"/>
      <c r="P142" s="49"/>
      <c r="Q142" s="49"/>
      <c r="R142" s="49"/>
      <c r="S142" s="49"/>
      <c r="T142" s="49"/>
      <c r="U142" s="49"/>
      <c r="V142" s="49"/>
      <c r="W142" s="49"/>
      <c r="X142" s="49"/>
      <c r="Y142" s="49"/>
      <c r="Z142" s="49"/>
    </row>
    <row r="143" spans="1:26" x14ac:dyDescent="0.35">
      <c r="A143" s="49"/>
      <c r="B143" s="49"/>
      <c r="C143" s="49"/>
      <c r="D143" s="49"/>
      <c r="E143" s="49"/>
      <c r="F143" s="49"/>
      <c r="G143" s="49"/>
      <c r="H143" s="49"/>
      <c r="I143" s="49"/>
      <c r="J143" s="49"/>
      <c r="K143" s="49"/>
      <c r="L143" s="49"/>
      <c r="M143" s="49"/>
      <c r="N143" s="49"/>
      <c r="O143" s="49"/>
      <c r="P143" s="49"/>
      <c r="Q143" s="49"/>
      <c r="R143" s="49"/>
      <c r="S143" s="49"/>
      <c r="T143" s="49"/>
      <c r="U143" s="49"/>
      <c r="V143" s="49"/>
      <c r="W143" s="49"/>
      <c r="X143" s="49"/>
      <c r="Y143" s="49"/>
      <c r="Z143" s="49"/>
    </row>
    <row r="144" spans="1:26" x14ac:dyDescent="0.35">
      <c r="A144" s="49"/>
      <c r="B144" s="49"/>
      <c r="C144" s="49"/>
      <c r="D144" s="49"/>
      <c r="E144" s="49"/>
      <c r="F144" s="49"/>
      <c r="G144" s="49"/>
      <c r="H144" s="49"/>
      <c r="I144" s="49"/>
      <c r="J144" s="49"/>
      <c r="K144" s="49"/>
      <c r="L144" s="49"/>
      <c r="M144" s="49"/>
      <c r="N144" s="49"/>
      <c r="O144" s="49"/>
      <c r="P144" s="49"/>
      <c r="Q144" s="49"/>
      <c r="R144" s="49"/>
      <c r="S144" s="49"/>
      <c r="T144" s="49"/>
      <c r="U144" s="49"/>
      <c r="V144" s="49"/>
      <c r="W144" s="49"/>
      <c r="X144" s="49"/>
      <c r="Y144" s="49"/>
      <c r="Z144" s="49"/>
    </row>
    <row r="145" spans="1:26" x14ac:dyDescent="0.35">
      <c r="A145" s="49"/>
      <c r="B145" s="49"/>
      <c r="C145" s="49"/>
      <c r="D145" s="49"/>
      <c r="E145" s="49"/>
      <c r="F145" s="49"/>
      <c r="G145" s="49"/>
      <c r="H145" s="49"/>
      <c r="I145" s="49"/>
      <c r="J145" s="49"/>
      <c r="K145" s="49"/>
      <c r="L145" s="49"/>
      <c r="M145" s="49"/>
      <c r="N145" s="49"/>
      <c r="O145" s="49"/>
      <c r="P145" s="49"/>
      <c r="Q145" s="49"/>
      <c r="R145" s="49"/>
      <c r="S145" s="49"/>
      <c r="T145" s="49"/>
      <c r="U145" s="49"/>
      <c r="V145" s="49"/>
      <c r="W145" s="49"/>
      <c r="X145" s="49"/>
      <c r="Y145" s="49"/>
      <c r="Z145" s="49"/>
    </row>
    <row r="146" spans="1:26" x14ac:dyDescent="0.35">
      <c r="A146" s="49"/>
      <c r="B146" s="49"/>
      <c r="C146" s="49"/>
      <c r="D146" s="49"/>
      <c r="E146" s="49"/>
      <c r="F146" s="49"/>
      <c r="G146" s="49"/>
      <c r="H146" s="49"/>
      <c r="I146" s="49"/>
      <c r="J146" s="49"/>
      <c r="K146" s="49"/>
      <c r="L146" s="49"/>
      <c r="M146" s="49"/>
      <c r="N146" s="49"/>
      <c r="O146" s="49"/>
      <c r="P146" s="49"/>
      <c r="Q146" s="49"/>
      <c r="R146" s="49"/>
      <c r="S146" s="49"/>
      <c r="T146" s="49"/>
      <c r="U146" s="49"/>
      <c r="V146" s="49"/>
      <c r="W146" s="49"/>
      <c r="X146" s="49"/>
      <c r="Y146" s="49"/>
      <c r="Z146" s="49"/>
    </row>
    <row r="147" spans="1:26" x14ac:dyDescent="0.35">
      <c r="A147" s="49"/>
      <c r="B147" s="49"/>
      <c r="C147" s="49"/>
      <c r="D147" s="49"/>
      <c r="E147" s="49"/>
      <c r="F147" s="49"/>
      <c r="G147" s="49"/>
      <c r="H147" s="49"/>
      <c r="I147" s="49"/>
      <c r="J147" s="49"/>
      <c r="K147" s="49"/>
      <c r="L147" s="49"/>
      <c r="M147" s="49"/>
      <c r="N147" s="49"/>
      <c r="O147" s="49"/>
      <c r="P147" s="49"/>
      <c r="Q147" s="49"/>
      <c r="R147" s="49"/>
      <c r="S147" s="49"/>
      <c r="T147" s="49"/>
      <c r="U147" s="49"/>
      <c r="V147" s="49"/>
      <c r="W147" s="49"/>
      <c r="X147" s="49"/>
      <c r="Y147" s="49"/>
      <c r="Z147" s="49"/>
    </row>
    <row r="148" spans="1:26" x14ac:dyDescent="0.35">
      <c r="A148" s="49"/>
      <c r="B148" s="49"/>
      <c r="C148" s="49"/>
      <c r="D148" s="49"/>
      <c r="E148" s="49"/>
      <c r="F148" s="49"/>
      <c r="G148" s="49"/>
      <c r="H148" s="49"/>
      <c r="I148" s="49"/>
      <c r="J148" s="49"/>
      <c r="K148" s="49"/>
      <c r="L148" s="49"/>
      <c r="M148" s="49"/>
      <c r="N148" s="49"/>
      <c r="O148" s="49"/>
      <c r="P148" s="49"/>
      <c r="Q148" s="49"/>
      <c r="R148" s="49"/>
      <c r="S148" s="49"/>
      <c r="T148" s="49"/>
      <c r="U148" s="49"/>
      <c r="V148" s="49"/>
      <c r="W148" s="49"/>
      <c r="X148" s="49"/>
      <c r="Y148" s="49"/>
      <c r="Z148" s="49"/>
    </row>
    <row r="149" spans="1:26" x14ac:dyDescent="0.35">
      <c r="A149" s="49"/>
      <c r="B149" s="49"/>
      <c r="C149" s="49"/>
      <c r="D149" s="49"/>
      <c r="E149" s="49"/>
      <c r="F149" s="49"/>
      <c r="G149" s="49"/>
      <c r="H149" s="49"/>
      <c r="I149" s="49"/>
      <c r="J149" s="49"/>
      <c r="K149" s="49"/>
      <c r="L149" s="49"/>
      <c r="M149" s="49"/>
      <c r="N149" s="49"/>
      <c r="O149" s="49"/>
      <c r="P149" s="49"/>
      <c r="Q149" s="49"/>
      <c r="R149" s="49"/>
      <c r="S149" s="49"/>
      <c r="T149" s="49"/>
      <c r="U149" s="49"/>
      <c r="V149" s="49"/>
      <c r="W149" s="49"/>
      <c r="X149" s="49"/>
      <c r="Y149" s="49"/>
      <c r="Z149" s="49"/>
    </row>
    <row r="150" spans="1:26" x14ac:dyDescent="0.35">
      <c r="A150" s="49"/>
      <c r="B150" s="49"/>
      <c r="C150" s="49"/>
      <c r="D150" s="49"/>
      <c r="E150" s="49"/>
      <c r="F150" s="49"/>
      <c r="G150" s="49"/>
      <c r="H150" s="49"/>
      <c r="I150" s="49"/>
      <c r="J150" s="49"/>
      <c r="K150" s="49"/>
      <c r="L150" s="49"/>
      <c r="M150" s="49"/>
      <c r="N150" s="49"/>
      <c r="O150" s="49"/>
      <c r="P150" s="49"/>
      <c r="Q150" s="49"/>
      <c r="R150" s="49"/>
      <c r="S150" s="49"/>
      <c r="T150" s="49"/>
      <c r="U150" s="49"/>
      <c r="V150" s="49"/>
      <c r="W150" s="49"/>
      <c r="X150" s="49"/>
      <c r="Y150" s="49"/>
      <c r="Z150" s="49"/>
    </row>
    <row r="151" spans="1:26" x14ac:dyDescent="0.35">
      <c r="A151" s="49"/>
      <c r="B151" s="49"/>
      <c r="C151" s="49"/>
      <c r="D151" s="49"/>
      <c r="E151" s="49"/>
      <c r="F151" s="49"/>
      <c r="G151" s="49"/>
      <c r="H151" s="49"/>
      <c r="I151" s="49"/>
      <c r="J151" s="49"/>
      <c r="K151" s="49"/>
      <c r="L151" s="49"/>
      <c r="M151" s="49"/>
      <c r="N151" s="49"/>
      <c r="O151" s="49"/>
      <c r="P151" s="49"/>
      <c r="Q151" s="49"/>
      <c r="R151" s="49"/>
      <c r="S151" s="49"/>
      <c r="T151" s="49"/>
      <c r="U151" s="49"/>
      <c r="V151" s="49"/>
      <c r="W151" s="49"/>
      <c r="X151" s="49"/>
      <c r="Y151" s="49"/>
      <c r="Z151" s="49"/>
    </row>
    <row r="152" spans="1:26" x14ac:dyDescent="0.35">
      <c r="A152" s="49"/>
      <c r="B152" s="49"/>
      <c r="C152" s="49"/>
      <c r="D152" s="49"/>
      <c r="E152" s="49"/>
      <c r="F152" s="49"/>
      <c r="G152" s="49"/>
      <c r="H152" s="49"/>
      <c r="I152" s="49"/>
      <c r="J152" s="49"/>
      <c r="K152" s="49"/>
      <c r="L152" s="49"/>
      <c r="M152" s="49"/>
      <c r="N152" s="49"/>
      <c r="O152" s="49"/>
      <c r="P152" s="49"/>
      <c r="Q152" s="49"/>
      <c r="R152" s="49"/>
      <c r="S152" s="49"/>
      <c r="T152" s="49"/>
      <c r="U152" s="49"/>
      <c r="V152" s="49"/>
      <c r="W152" s="49"/>
      <c r="X152" s="49"/>
      <c r="Y152" s="49"/>
      <c r="Z152" s="49"/>
    </row>
    <row r="153" spans="1:26" x14ac:dyDescent="0.35">
      <c r="A153" s="49"/>
      <c r="B153" s="49"/>
      <c r="C153" s="49"/>
      <c r="D153" s="49"/>
      <c r="E153" s="49"/>
      <c r="F153" s="49"/>
      <c r="G153" s="49"/>
      <c r="H153" s="49"/>
      <c r="I153" s="49"/>
      <c r="J153" s="49"/>
      <c r="K153" s="49"/>
      <c r="L153" s="49"/>
      <c r="M153" s="49"/>
      <c r="N153" s="49"/>
      <c r="O153" s="49"/>
      <c r="P153" s="49"/>
      <c r="Q153" s="49"/>
      <c r="R153" s="49"/>
      <c r="S153" s="49"/>
      <c r="T153" s="49"/>
      <c r="U153" s="49"/>
      <c r="V153" s="49"/>
      <c r="W153" s="49"/>
      <c r="X153" s="49"/>
      <c r="Y153" s="49"/>
      <c r="Z153" s="49"/>
    </row>
    <row r="154" spans="1:26" x14ac:dyDescent="0.35">
      <c r="A154" s="49"/>
      <c r="B154" s="49"/>
      <c r="C154" s="49"/>
      <c r="D154" s="49"/>
      <c r="E154" s="49"/>
      <c r="F154" s="49"/>
      <c r="G154" s="49"/>
      <c r="H154" s="49"/>
      <c r="I154" s="49"/>
      <c r="J154" s="49"/>
      <c r="K154" s="49"/>
      <c r="L154" s="49"/>
      <c r="M154" s="49"/>
      <c r="N154" s="49"/>
      <c r="O154" s="49"/>
      <c r="P154" s="49"/>
      <c r="Q154" s="49"/>
      <c r="R154" s="49"/>
      <c r="S154" s="49"/>
      <c r="T154" s="49"/>
      <c r="U154" s="49"/>
      <c r="V154" s="49"/>
      <c r="W154" s="49"/>
      <c r="X154" s="49"/>
      <c r="Y154" s="49"/>
      <c r="Z154" s="49"/>
    </row>
    <row r="155" spans="1:26" x14ac:dyDescent="0.35">
      <c r="A155" s="49"/>
      <c r="B155" s="49"/>
      <c r="C155" s="49"/>
      <c r="D155" s="49"/>
      <c r="E155" s="49"/>
      <c r="F155" s="49"/>
      <c r="G155" s="49"/>
      <c r="H155" s="49"/>
      <c r="I155" s="49"/>
      <c r="J155" s="49"/>
      <c r="K155" s="49"/>
      <c r="L155" s="49"/>
      <c r="M155" s="49"/>
      <c r="N155" s="49"/>
      <c r="O155" s="49"/>
      <c r="P155" s="49"/>
      <c r="Q155" s="49"/>
      <c r="R155" s="49"/>
      <c r="S155" s="49"/>
      <c r="T155" s="49"/>
      <c r="U155" s="49"/>
      <c r="V155" s="49"/>
      <c r="W155" s="49"/>
      <c r="X155" s="49"/>
      <c r="Y155" s="49"/>
      <c r="Z155" s="49"/>
    </row>
    <row r="156" spans="1:26" x14ac:dyDescent="0.35">
      <c r="A156" s="49"/>
      <c r="B156" s="49"/>
      <c r="C156" s="49"/>
      <c r="D156" s="49"/>
      <c r="E156" s="49"/>
      <c r="F156" s="49"/>
      <c r="G156" s="49"/>
      <c r="H156" s="49"/>
      <c r="I156" s="49"/>
      <c r="J156" s="49"/>
      <c r="K156" s="49"/>
      <c r="L156" s="49"/>
      <c r="M156" s="49"/>
      <c r="N156" s="49"/>
      <c r="O156" s="49"/>
      <c r="P156" s="49"/>
      <c r="Q156" s="49"/>
      <c r="R156" s="49"/>
      <c r="S156" s="49"/>
      <c r="T156" s="49"/>
      <c r="U156" s="49"/>
      <c r="V156" s="49"/>
      <c r="W156" s="49"/>
      <c r="X156" s="49"/>
      <c r="Y156" s="49"/>
      <c r="Z156" s="49"/>
    </row>
    <row r="157" spans="1:26" x14ac:dyDescent="0.35">
      <c r="A157" s="49"/>
      <c r="B157" s="49"/>
      <c r="C157" s="49"/>
      <c r="D157" s="49"/>
      <c r="E157" s="49"/>
      <c r="F157" s="49"/>
      <c r="G157" s="49"/>
      <c r="H157" s="49"/>
      <c r="I157" s="49"/>
      <c r="J157" s="49"/>
      <c r="K157" s="49"/>
      <c r="L157" s="49"/>
      <c r="M157" s="49"/>
      <c r="N157" s="49"/>
      <c r="O157" s="49"/>
      <c r="P157" s="49"/>
      <c r="Q157" s="49"/>
      <c r="R157" s="49"/>
      <c r="S157" s="49"/>
      <c r="T157" s="49"/>
      <c r="U157" s="49"/>
      <c r="V157" s="49"/>
      <c r="W157" s="49"/>
      <c r="X157" s="49"/>
      <c r="Y157" s="49"/>
      <c r="Z157" s="49"/>
    </row>
    <row r="158" spans="1:26" x14ac:dyDescent="0.35">
      <c r="A158" s="49"/>
      <c r="B158" s="49"/>
      <c r="C158" s="49"/>
      <c r="D158" s="49"/>
      <c r="E158" s="49"/>
      <c r="F158" s="49"/>
      <c r="G158" s="49"/>
      <c r="H158" s="49"/>
      <c r="I158" s="49"/>
      <c r="J158" s="49"/>
      <c r="K158" s="49"/>
      <c r="L158" s="49"/>
      <c r="M158" s="49"/>
      <c r="N158" s="49"/>
      <c r="O158" s="49"/>
      <c r="P158" s="49"/>
      <c r="Q158" s="49"/>
      <c r="R158" s="49"/>
      <c r="S158" s="49"/>
      <c r="T158" s="49"/>
      <c r="U158" s="49"/>
      <c r="V158" s="49"/>
      <c r="W158" s="49"/>
      <c r="X158" s="49"/>
      <c r="Y158" s="49"/>
      <c r="Z158" s="49"/>
    </row>
    <row r="159" spans="1:26" x14ac:dyDescent="0.35">
      <c r="A159" s="49"/>
      <c r="B159" s="49"/>
      <c r="C159" s="49"/>
      <c r="D159" s="49"/>
      <c r="E159" s="49"/>
      <c r="F159" s="49"/>
      <c r="G159" s="49"/>
      <c r="H159" s="49"/>
      <c r="I159" s="49"/>
      <c r="J159" s="49"/>
      <c r="K159" s="49"/>
      <c r="L159" s="49"/>
      <c r="M159" s="49"/>
      <c r="N159" s="49"/>
      <c r="O159" s="49"/>
      <c r="P159" s="49"/>
      <c r="Q159" s="49"/>
      <c r="R159" s="49"/>
      <c r="S159" s="49"/>
      <c r="T159" s="49"/>
      <c r="U159" s="49"/>
      <c r="V159" s="49"/>
      <c r="W159" s="49"/>
      <c r="X159" s="49"/>
      <c r="Y159" s="49"/>
      <c r="Z159" s="49"/>
    </row>
    <row r="160" spans="1:26" x14ac:dyDescent="0.35">
      <c r="A160" s="49"/>
      <c r="B160" s="49"/>
      <c r="C160" s="49"/>
      <c r="D160" s="49"/>
      <c r="E160" s="49"/>
      <c r="F160" s="49"/>
      <c r="G160" s="49"/>
      <c r="H160" s="49"/>
      <c r="I160" s="49"/>
      <c r="J160" s="49"/>
      <c r="K160" s="49"/>
      <c r="L160" s="49"/>
      <c r="M160" s="49"/>
      <c r="N160" s="49"/>
      <c r="O160" s="49"/>
      <c r="P160" s="49"/>
      <c r="Q160" s="49"/>
      <c r="R160" s="49"/>
      <c r="S160" s="49"/>
      <c r="T160" s="49"/>
      <c r="U160" s="49"/>
      <c r="V160" s="49"/>
      <c r="W160" s="49"/>
      <c r="X160" s="49"/>
      <c r="Y160" s="49"/>
      <c r="Z160" s="49"/>
    </row>
    <row r="161" spans="1:26" x14ac:dyDescent="0.35">
      <c r="A161" s="49"/>
      <c r="B161" s="49"/>
      <c r="C161" s="49"/>
      <c r="D161" s="49"/>
      <c r="E161" s="49"/>
      <c r="F161" s="49"/>
      <c r="G161" s="49"/>
      <c r="H161" s="49"/>
      <c r="I161" s="49"/>
      <c r="J161" s="49"/>
      <c r="K161" s="49"/>
      <c r="L161" s="49"/>
      <c r="M161" s="49"/>
      <c r="N161" s="49"/>
      <c r="O161" s="49"/>
      <c r="P161" s="49"/>
      <c r="Q161" s="49"/>
      <c r="R161" s="49"/>
      <c r="S161" s="49"/>
      <c r="T161" s="49"/>
      <c r="U161" s="49"/>
      <c r="V161" s="49"/>
      <c r="W161" s="49"/>
      <c r="X161" s="49"/>
      <c r="Y161" s="49"/>
      <c r="Z161" s="49"/>
    </row>
    <row r="162" spans="1:26" x14ac:dyDescent="0.35">
      <c r="A162" s="49"/>
      <c r="B162" s="49"/>
      <c r="C162" s="49"/>
      <c r="D162" s="49"/>
      <c r="E162" s="49"/>
      <c r="F162" s="49"/>
      <c r="G162" s="49"/>
      <c r="H162" s="49"/>
      <c r="I162" s="49"/>
      <c r="J162" s="49"/>
      <c r="K162" s="49"/>
      <c r="L162" s="49"/>
      <c r="M162" s="49"/>
      <c r="N162" s="49"/>
      <c r="O162" s="49"/>
      <c r="P162" s="49"/>
      <c r="Q162" s="49"/>
      <c r="R162" s="49"/>
      <c r="S162" s="49"/>
      <c r="T162" s="49"/>
      <c r="U162" s="49"/>
      <c r="V162" s="49"/>
      <c r="W162" s="49"/>
      <c r="X162" s="49"/>
      <c r="Y162" s="49"/>
      <c r="Z162" s="49"/>
    </row>
    <row r="163" spans="1:26" x14ac:dyDescent="0.35">
      <c r="A163" s="49"/>
      <c r="B163" s="49"/>
      <c r="C163" s="49"/>
      <c r="D163" s="49"/>
      <c r="E163" s="49"/>
      <c r="F163" s="49"/>
      <c r="G163" s="49"/>
      <c r="H163" s="49"/>
      <c r="I163" s="49"/>
      <c r="J163" s="49"/>
      <c r="K163" s="49"/>
      <c r="L163" s="49"/>
      <c r="M163" s="49"/>
      <c r="N163" s="49"/>
      <c r="O163" s="49"/>
      <c r="P163" s="49"/>
      <c r="Q163" s="49"/>
      <c r="R163" s="49"/>
      <c r="S163" s="49"/>
      <c r="T163" s="49"/>
      <c r="U163" s="49"/>
      <c r="V163" s="49"/>
      <c r="W163" s="49"/>
      <c r="X163" s="49"/>
      <c r="Y163" s="49"/>
      <c r="Z163" s="49"/>
    </row>
    <row r="164" spans="1:26" x14ac:dyDescent="0.35">
      <c r="A164" s="49"/>
      <c r="B164" s="49"/>
      <c r="C164" s="49"/>
      <c r="D164" s="49"/>
      <c r="E164" s="49"/>
      <c r="F164" s="49"/>
      <c r="G164" s="49"/>
      <c r="H164" s="49"/>
      <c r="I164" s="49"/>
      <c r="J164" s="49"/>
      <c r="K164" s="49"/>
      <c r="L164" s="49"/>
      <c r="M164" s="49"/>
      <c r="N164" s="49"/>
      <c r="O164" s="49"/>
      <c r="P164" s="49"/>
      <c r="Q164" s="49"/>
      <c r="R164" s="49"/>
      <c r="S164" s="49"/>
      <c r="T164" s="49"/>
      <c r="U164" s="49"/>
      <c r="V164" s="49"/>
      <c r="W164" s="49"/>
      <c r="X164" s="49"/>
      <c r="Y164" s="49"/>
      <c r="Z164" s="49"/>
    </row>
    <row r="165" spans="1:26" x14ac:dyDescent="0.35">
      <c r="A165" s="49"/>
      <c r="B165" s="49"/>
      <c r="C165" s="49"/>
      <c r="D165" s="49"/>
      <c r="E165" s="49"/>
      <c r="F165" s="49"/>
      <c r="G165" s="49"/>
      <c r="H165" s="49"/>
      <c r="I165" s="49"/>
      <c r="J165" s="49"/>
      <c r="K165" s="49"/>
      <c r="L165" s="49"/>
      <c r="M165" s="49"/>
      <c r="N165" s="49"/>
      <c r="O165" s="49"/>
      <c r="P165" s="49"/>
      <c r="Q165" s="49"/>
      <c r="R165" s="49"/>
      <c r="S165" s="49"/>
      <c r="T165" s="49"/>
      <c r="U165" s="49"/>
      <c r="V165" s="49"/>
      <c r="W165" s="49"/>
      <c r="X165" s="49"/>
      <c r="Y165" s="49"/>
      <c r="Z165" s="49"/>
    </row>
    <row r="166" spans="1:26" x14ac:dyDescent="0.35">
      <c r="A166" s="49"/>
      <c r="B166" s="49"/>
      <c r="C166" s="49"/>
      <c r="D166" s="49"/>
      <c r="E166" s="49"/>
      <c r="F166" s="49"/>
      <c r="G166" s="49"/>
      <c r="H166" s="49"/>
      <c r="I166" s="49"/>
      <c r="J166" s="49"/>
      <c r="K166" s="49"/>
      <c r="L166" s="49"/>
      <c r="M166" s="49"/>
      <c r="N166" s="49"/>
      <c r="O166" s="49"/>
      <c r="P166" s="49"/>
      <c r="Q166" s="49"/>
      <c r="R166" s="49"/>
      <c r="S166" s="49"/>
      <c r="T166" s="49"/>
      <c r="U166" s="49"/>
      <c r="V166" s="49"/>
      <c r="W166" s="49"/>
      <c r="X166" s="49"/>
      <c r="Y166" s="49"/>
      <c r="Z166" s="49"/>
    </row>
    <row r="167" spans="1:26" x14ac:dyDescent="0.35">
      <c r="A167" s="49"/>
      <c r="B167" s="49"/>
      <c r="C167" s="49"/>
      <c r="D167" s="49"/>
      <c r="E167" s="49"/>
      <c r="F167" s="49"/>
      <c r="G167" s="49"/>
      <c r="H167" s="49"/>
      <c r="I167" s="49"/>
      <c r="J167" s="49"/>
      <c r="K167" s="49"/>
      <c r="L167" s="49"/>
      <c r="M167" s="49"/>
      <c r="N167" s="49"/>
      <c r="O167" s="49"/>
      <c r="P167" s="49"/>
      <c r="Q167" s="49"/>
      <c r="R167" s="49"/>
      <c r="S167" s="49"/>
      <c r="T167" s="49"/>
      <c r="U167" s="49"/>
      <c r="V167" s="49"/>
      <c r="W167" s="49"/>
      <c r="X167" s="49"/>
      <c r="Y167" s="49"/>
      <c r="Z167" s="49"/>
    </row>
    <row r="168" spans="1:26" x14ac:dyDescent="0.35">
      <c r="A168" s="49"/>
      <c r="B168" s="49"/>
      <c r="C168" s="49"/>
      <c r="D168" s="49"/>
      <c r="E168" s="49"/>
      <c r="F168" s="49"/>
      <c r="G168" s="49"/>
      <c r="H168" s="49"/>
      <c r="I168" s="49"/>
      <c r="J168" s="49"/>
      <c r="K168" s="49"/>
      <c r="L168" s="49"/>
      <c r="M168" s="49"/>
      <c r="N168" s="49"/>
      <c r="O168" s="49"/>
      <c r="P168" s="49"/>
      <c r="Q168" s="49"/>
      <c r="R168" s="49"/>
      <c r="S168" s="49"/>
      <c r="T168" s="49"/>
      <c r="U168" s="49"/>
      <c r="V168" s="49"/>
      <c r="W168" s="49"/>
      <c r="X168" s="49"/>
      <c r="Y168" s="49"/>
      <c r="Z168" s="49"/>
    </row>
    <row r="169" spans="1:26" x14ac:dyDescent="0.35">
      <c r="A169" s="49"/>
      <c r="B169" s="49"/>
      <c r="C169" s="49"/>
      <c r="D169" s="49"/>
      <c r="E169" s="49"/>
      <c r="F169" s="49"/>
      <c r="G169" s="49"/>
      <c r="H169" s="49"/>
      <c r="I169" s="49"/>
      <c r="J169" s="49"/>
      <c r="K169" s="49"/>
      <c r="L169" s="49"/>
      <c r="M169" s="49"/>
      <c r="N169" s="49"/>
      <c r="O169" s="49"/>
      <c r="P169" s="49"/>
      <c r="Q169" s="49"/>
      <c r="R169" s="49"/>
      <c r="S169" s="49"/>
      <c r="T169" s="49"/>
      <c r="U169" s="49"/>
      <c r="V169" s="49"/>
      <c r="W169" s="49"/>
      <c r="X169" s="49"/>
      <c r="Y169" s="49"/>
      <c r="Z169" s="49"/>
    </row>
    <row r="170" spans="1:26" x14ac:dyDescent="0.35">
      <c r="A170" s="49"/>
      <c r="B170" s="49"/>
      <c r="C170" s="49"/>
      <c r="D170" s="49"/>
      <c r="E170" s="49"/>
      <c r="F170" s="49"/>
      <c r="G170" s="49"/>
      <c r="H170" s="49"/>
      <c r="I170" s="49"/>
      <c r="J170" s="49"/>
      <c r="K170" s="49"/>
      <c r="L170" s="49"/>
      <c r="M170" s="49"/>
      <c r="N170" s="49"/>
      <c r="O170" s="49"/>
      <c r="P170" s="49"/>
      <c r="Q170" s="49"/>
      <c r="R170" s="49"/>
      <c r="S170" s="49"/>
      <c r="T170" s="49"/>
      <c r="U170" s="49"/>
      <c r="V170" s="49"/>
      <c r="W170" s="49"/>
      <c r="X170" s="49"/>
      <c r="Y170" s="49"/>
      <c r="Z170" s="49"/>
    </row>
    <row r="171" spans="1:26" x14ac:dyDescent="0.35">
      <c r="A171" s="49"/>
      <c r="B171" s="49"/>
      <c r="C171" s="49"/>
      <c r="D171" s="49"/>
      <c r="E171" s="49"/>
      <c r="F171" s="49"/>
      <c r="G171" s="49"/>
      <c r="H171" s="49"/>
      <c r="I171" s="49"/>
      <c r="J171" s="49"/>
      <c r="K171" s="49"/>
      <c r="L171" s="49"/>
      <c r="M171" s="49"/>
      <c r="N171" s="49"/>
      <c r="O171" s="49"/>
      <c r="P171" s="49"/>
      <c r="Q171" s="49"/>
      <c r="R171" s="49"/>
      <c r="S171" s="49"/>
      <c r="T171" s="49"/>
      <c r="U171" s="49"/>
      <c r="V171" s="49"/>
      <c r="W171" s="49"/>
      <c r="X171" s="49"/>
      <c r="Y171" s="49"/>
      <c r="Z171" s="49"/>
    </row>
    <row r="172" spans="1:26" x14ac:dyDescent="0.35">
      <c r="A172" s="49"/>
      <c r="B172" s="49"/>
      <c r="C172" s="49"/>
      <c r="D172" s="49"/>
      <c r="E172" s="49"/>
      <c r="F172" s="49"/>
      <c r="G172" s="49"/>
      <c r="H172" s="49"/>
      <c r="I172" s="49"/>
      <c r="J172" s="49"/>
      <c r="K172" s="49"/>
      <c r="L172" s="49"/>
      <c r="M172" s="49"/>
      <c r="N172" s="49"/>
      <c r="O172" s="49"/>
      <c r="P172" s="49"/>
      <c r="Q172" s="49"/>
      <c r="R172" s="49"/>
      <c r="S172" s="49"/>
      <c r="T172" s="49"/>
      <c r="U172" s="49"/>
      <c r="V172" s="49"/>
      <c r="W172" s="49"/>
      <c r="X172" s="49"/>
      <c r="Y172" s="49"/>
      <c r="Z172" s="49"/>
    </row>
    <row r="173" spans="1:26" x14ac:dyDescent="0.35">
      <c r="A173" s="49"/>
      <c r="B173" s="49"/>
      <c r="C173" s="49"/>
      <c r="D173" s="49"/>
      <c r="E173" s="49"/>
      <c r="F173" s="49"/>
      <c r="G173" s="49"/>
      <c r="H173" s="49"/>
      <c r="I173" s="49"/>
      <c r="J173" s="49"/>
      <c r="K173" s="49"/>
      <c r="L173" s="49"/>
      <c r="M173" s="49"/>
      <c r="N173" s="49"/>
      <c r="O173" s="49"/>
      <c r="P173" s="49"/>
      <c r="Q173" s="49"/>
      <c r="R173" s="49"/>
      <c r="S173" s="49"/>
      <c r="T173" s="49"/>
      <c r="U173" s="49"/>
      <c r="V173" s="49"/>
      <c r="W173" s="49"/>
      <c r="X173" s="49"/>
      <c r="Y173" s="49"/>
      <c r="Z173" s="49"/>
    </row>
    <row r="174" spans="1:26" x14ac:dyDescent="0.35">
      <c r="A174" s="49"/>
      <c r="B174" s="49"/>
      <c r="C174" s="49"/>
      <c r="D174" s="49"/>
      <c r="E174" s="49"/>
      <c r="F174" s="49"/>
      <c r="G174" s="49"/>
      <c r="H174" s="49"/>
      <c r="I174" s="49"/>
      <c r="J174" s="49"/>
      <c r="K174" s="49"/>
      <c r="L174" s="49"/>
      <c r="M174" s="49"/>
      <c r="N174" s="49"/>
      <c r="O174" s="49"/>
      <c r="P174" s="49"/>
      <c r="Q174" s="49"/>
      <c r="R174" s="49"/>
      <c r="S174" s="49"/>
      <c r="T174" s="49"/>
      <c r="U174" s="49"/>
      <c r="V174" s="49"/>
      <c r="W174" s="49"/>
      <c r="X174" s="49"/>
      <c r="Y174" s="49"/>
      <c r="Z174" s="49"/>
    </row>
    <row r="175" spans="1:26" x14ac:dyDescent="0.35">
      <c r="A175" s="49"/>
      <c r="B175" s="49"/>
      <c r="C175" s="49"/>
      <c r="D175" s="49"/>
      <c r="E175" s="49"/>
      <c r="F175" s="49"/>
      <c r="G175" s="49"/>
      <c r="H175" s="49"/>
      <c r="I175" s="49"/>
      <c r="J175" s="49"/>
      <c r="K175" s="49"/>
      <c r="L175" s="49"/>
      <c r="M175" s="49"/>
      <c r="N175" s="49"/>
      <c r="O175" s="49"/>
      <c r="P175" s="49"/>
      <c r="Q175" s="49"/>
      <c r="R175" s="49"/>
      <c r="S175" s="49"/>
      <c r="T175" s="49"/>
      <c r="U175" s="49"/>
      <c r="V175" s="49"/>
      <c r="W175" s="49"/>
      <c r="X175" s="49"/>
      <c r="Y175" s="49"/>
      <c r="Z175" s="49"/>
    </row>
    <row r="176" spans="1:26" x14ac:dyDescent="0.35">
      <c r="A176" s="49"/>
      <c r="B176" s="49"/>
      <c r="C176" s="49"/>
      <c r="D176" s="49"/>
      <c r="E176" s="49"/>
      <c r="F176" s="49"/>
      <c r="G176" s="49"/>
      <c r="H176" s="49"/>
      <c r="I176" s="49"/>
      <c r="J176" s="49"/>
      <c r="K176" s="49"/>
      <c r="L176" s="49"/>
      <c r="M176" s="49"/>
      <c r="N176" s="49"/>
      <c r="O176" s="49"/>
      <c r="P176" s="49"/>
      <c r="Q176" s="49"/>
      <c r="R176" s="49"/>
      <c r="S176" s="49"/>
      <c r="T176" s="49"/>
      <c r="U176" s="49"/>
      <c r="V176" s="49"/>
      <c r="W176" s="49"/>
      <c r="X176" s="49"/>
      <c r="Y176" s="49"/>
      <c r="Z176" s="49"/>
    </row>
    <row r="177" spans="1:26" x14ac:dyDescent="0.35">
      <c r="A177" s="49"/>
      <c r="B177" s="49"/>
      <c r="C177" s="49"/>
      <c r="D177" s="49"/>
      <c r="E177" s="49"/>
      <c r="F177" s="49"/>
      <c r="G177" s="49"/>
      <c r="H177" s="49"/>
      <c r="I177" s="49"/>
      <c r="J177" s="49"/>
      <c r="K177" s="49"/>
      <c r="L177" s="49"/>
      <c r="M177" s="49"/>
      <c r="N177" s="49"/>
      <c r="O177" s="49"/>
      <c r="P177" s="49"/>
      <c r="Q177" s="49"/>
      <c r="R177" s="49"/>
      <c r="S177" s="49"/>
      <c r="T177" s="49"/>
      <c r="U177" s="49"/>
      <c r="V177" s="49"/>
      <c r="W177" s="49"/>
      <c r="X177" s="49"/>
      <c r="Y177" s="49"/>
      <c r="Z177" s="49"/>
    </row>
    <row r="178" spans="1:26" x14ac:dyDescent="0.35">
      <c r="A178" s="49"/>
      <c r="B178" s="49"/>
      <c r="C178" s="49"/>
      <c r="D178" s="49"/>
      <c r="E178" s="49"/>
      <c r="F178" s="49"/>
      <c r="G178" s="49"/>
      <c r="H178" s="49"/>
      <c r="I178" s="49"/>
      <c r="J178" s="49"/>
      <c r="K178" s="49"/>
      <c r="L178" s="49"/>
      <c r="M178" s="49"/>
      <c r="N178" s="49"/>
      <c r="O178" s="49"/>
      <c r="P178" s="49"/>
      <c r="Q178" s="49"/>
      <c r="R178" s="49"/>
      <c r="S178" s="49"/>
      <c r="T178" s="49"/>
      <c r="U178" s="49"/>
      <c r="V178" s="49"/>
      <c r="W178" s="49"/>
      <c r="X178" s="49"/>
      <c r="Y178" s="49"/>
      <c r="Z178" s="49"/>
    </row>
    <row r="179" spans="1:26" x14ac:dyDescent="0.35">
      <c r="A179" s="49"/>
      <c r="B179" s="49"/>
      <c r="C179" s="49"/>
      <c r="D179" s="49"/>
      <c r="E179" s="49"/>
      <c r="F179" s="49"/>
      <c r="G179" s="49"/>
      <c r="H179" s="49"/>
      <c r="I179" s="49"/>
      <c r="J179" s="49"/>
      <c r="K179" s="49"/>
      <c r="L179" s="49"/>
      <c r="M179" s="49"/>
      <c r="N179" s="49"/>
      <c r="O179" s="49"/>
      <c r="P179" s="49"/>
      <c r="Q179" s="49"/>
      <c r="R179" s="49"/>
      <c r="S179" s="49"/>
      <c r="T179" s="49"/>
      <c r="U179" s="49"/>
      <c r="V179" s="49"/>
      <c r="W179" s="49"/>
      <c r="X179" s="49"/>
      <c r="Y179" s="49"/>
      <c r="Z179" s="49"/>
    </row>
    <row r="180" spans="1:26" x14ac:dyDescent="0.35">
      <c r="A180" s="49"/>
      <c r="B180" s="49"/>
      <c r="C180" s="49"/>
      <c r="D180" s="49"/>
      <c r="E180" s="49"/>
      <c r="F180" s="49"/>
      <c r="G180" s="49"/>
      <c r="H180" s="49"/>
      <c r="I180" s="49"/>
      <c r="J180" s="49"/>
      <c r="K180" s="49"/>
      <c r="L180" s="49"/>
      <c r="M180" s="49"/>
      <c r="N180" s="49"/>
      <c r="O180" s="49"/>
      <c r="P180" s="49"/>
      <c r="Q180" s="49"/>
      <c r="R180" s="49"/>
      <c r="S180" s="49"/>
      <c r="T180" s="49"/>
      <c r="U180" s="49"/>
      <c r="V180" s="49"/>
      <c r="W180" s="49"/>
      <c r="X180" s="49"/>
      <c r="Y180" s="49"/>
      <c r="Z180" s="49"/>
    </row>
    <row r="181" spans="1:26" x14ac:dyDescent="0.35">
      <c r="A181" s="49"/>
      <c r="B181" s="49"/>
      <c r="C181" s="49"/>
      <c r="D181" s="49"/>
      <c r="E181" s="49"/>
      <c r="F181" s="49"/>
      <c r="G181" s="49"/>
      <c r="H181" s="49"/>
      <c r="I181" s="49"/>
      <c r="J181" s="49"/>
      <c r="K181" s="49"/>
      <c r="L181" s="49"/>
      <c r="M181" s="49"/>
      <c r="N181" s="49"/>
      <c r="O181" s="49"/>
      <c r="P181" s="49"/>
      <c r="Q181" s="49"/>
      <c r="R181" s="49"/>
      <c r="S181" s="49"/>
      <c r="T181" s="49"/>
      <c r="U181" s="49"/>
      <c r="V181" s="49"/>
      <c r="W181" s="49"/>
      <c r="X181" s="49"/>
      <c r="Y181" s="49"/>
      <c r="Z181" s="49"/>
    </row>
    <row r="182" spans="1:26" x14ac:dyDescent="0.35">
      <c r="A182" s="49"/>
      <c r="B182" s="49"/>
      <c r="C182" s="49"/>
      <c r="D182" s="49"/>
      <c r="E182" s="49"/>
      <c r="F182" s="49"/>
      <c r="G182" s="49"/>
      <c r="H182" s="49"/>
      <c r="I182" s="49"/>
      <c r="J182" s="49"/>
      <c r="K182" s="49"/>
      <c r="L182" s="49"/>
      <c r="M182" s="49"/>
      <c r="N182" s="49"/>
      <c r="O182" s="49"/>
      <c r="P182" s="49"/>
      <c r="Q182" s="49"/>
      <c r="R182" s="49"/>
      <c r="S182" s="49"/>
      <c r="T182" s="49"/>
      <c r="U182" s="49"/>
      <c r="V182" s="49"/>
      <c r="W182" s="49"/>
      <c r="X182" s="49"/>
      <c r="Y182" s="49"/>
      <c r="Z182" s="49"/>
    </row>
    <row r="183" spans="1:26" x14ac:dyDescent="0.35">
      <c r="A183" s="49"/>
      <c r="B183" s="49"/>
      <c r="C183" s="49"/>
      <c r="D183" s="49"/>
      <c r="E183" s="49"/>
      <c r="F183" s="49"/>
      <c r="G183" s="49"/>
      <c r="H183" s="49"/>
      <c r="I183" s="49"/>
      <c r="J183" s="49"/>
      <c r="K183" s="49"/>
      <c r="L183" s="49"/>
      <c r="M183" s="49"/>
      <c r="N183" s="49"/>
      <c r="O183" s="49"/>
      <c r="P183" s="49"/>
      <c r="Q183" s="49"/>
      <c r="R183" s="49"/>
      <c r="S183" s="49"/>
      <c r="T183" s="49"/>
      <c r="U183" s="49"/>
      <c r="V183" s="49"/>
      <c r="W183" s="49"/>
      <c r="X183" s="49"/>
      <c r="Y183" s="49"/>
      <c r="Z183" s="49"/>
    </row>
    <row r="184" spans="1:26" x14ac:dyDescent="0.35">
      <c r="A184" s="49"/>
      <c r="B184" s="49"/>
      <c r="C184" s="49"/>
      <c r="D184" s="49"/>
      <c r="E184" s="49"/>
      <c r="F184" s="49"/>
      <c r="G184" s="49"/>
      <c r="H184" s="49"/>
      <c r="I184" s="49"/>
      <c r="J184" s="49"/>
      <c r="K184" s="49"/>
      <c r="L184" s="49"/>
      <c r="M184" s="49"/>
      <c r="N184" s="49"/>
      <c r="O184" s="49"/>
      <c r="P184" s="49"/>
      <c r="Q184" s="49"/>
      <c r="R184" s="49"/>
      <c r="S184" s="49"/>
      <c r="T184" s="49"/>
      <c r="U184" s="49"/>
      <c r="V184" s="49"/>
      <c r="W184" s="49"/>
      <c r="X184" s="49"/>
      <c r="Y184" s="49"/>
      <c r="Z184" s="49"/>
    </row>
    <row r="185" spans="1:26" x14ac:dyDescent="0.35">
      <c r="A185" s="49"/>
      <c r="B185" s="49"/>
      <c r="C185" s="49"/>
      <c r="D185" s="49"/>
      <c r="E185" s="49"/>
      <c r="F185" s="49"/>
      <c r="G185" s="49"/>
      <c r="H185" s="49"/>
      <c r="I185" s="49"/>
      <c r="J185" s="49"/>
      <c r="K185" s="49"/>
      <c r="L185" s="49"/>
      <c r="M185" s="49"/>
      <c r="N185" s="49"/>
      <c r="O185" s="49"/>
      <c r="P185" s="49"/>
      <c r="Q185" s="49"/>
      <c r="R185" s="49"/>
      <c r="S185" s="49"/>
      <c r="T185" s="49"/>
      <c r="U185" s="49"/>
      <c r="V185" s="49"/>
      <c r="W185" s="49"/>
      <c r="X185" s="49"/>
      <c r="Y185" s="49"/>
      <c r="Z185" s="49"/>
    </row>
    <row r="186" spans="1:26" x14ac:dyDescent="0.35">
      <c r="A186" s="49"/>
      <c r="B186" s="49"/>
      <c r="C186" s="49"/>
      <c r="D186" s="49"/>
      <c r="E186" s="49"/>
      <c r="F186" s="49"/>
      <c r="G186" s="49"/>
      <c r="H186" s="49"/>
      <c r="I186" s="49"/>
      <c r="J186" s="49"/>
      <c r="K186" s="49"/>
      <c r="L186" s="49"/>
      <c r="M186" s="49"/>
      <c r="N186" s="49"/>
      <c r="O186" s="49"/>
      <c r="P186" s="49"/>
      <c r="Q186" s="49"/>
      <c r="R186" s="49"/>
      <c r="S186" s="49"/>
      <c r="T186" s="49"/>
      <c r="U186" s="49"/>
      <c r="V186" s="49"/>
      <c r="W186" s="49"/>
      <c r="X186" s="49"/>
      <c r="Y186" s="49"/>
      <c r="Z186" s="49"/>
    </row>
    <row r="187" spans="1:26" x14ac:dyDescent="0.35">
      <c r="A187" s="49"/>
      <c r="B187" s="49"/>
      <c r="C187" s="49"/>
      <c r="D187" s="49"/>
      <c r="E187" s="49"/>
      <c r="F187" s="49"/>
      <c r="G187" s="49"/>
      <c r="H187" s="49"/>
      <c r="I187" s="49"/>
      <c r="J187" s="49"/>
      <c r="K187" s="49"/>
      <c r="L187" s="49"/>
      <c r="M187" s="49"/>
      <c r="N187" s="49"/>
      <c r="O187" s="49"/>
      <c r="P187" s="49"/>
      <c r="Q187" s="49"/>
      <c r="R187" s="49"/>
      <c r="S187" s="49"/>
      <c r="T187" s="49"/>
      <c r="U187" s="49"/>
      <c r="V187" s="49"/>
      <c r="W187" s="49"/>
      <c r="X187" s="49"/>
      <c r="Y187" s="49"/>
      <c r="Z187" s="49"/>
    </row>
  </sheetData>
  <sheetProtection algorithmName="SHA-512" hashValue="YKFE+cvQYv7mDxamrVKnNyWDAsW3RgQ1Oe+3ycuC4eXuv+G4zbmbTeDZz6bRgWjvxObkXQzEutixqdOb34e7ig==" saltValue="HyLrTjc8ljlzFQRWi8cmTA==" spinCount="100000" sheet="1" objects="1" scenarios="1"/>
  <conditionalFormatting sqref="J7:J13">
    <cfRule type="cellIs" dxfId="116" priority="2" operator="lessThan">
      <formula>0</formula>
    </cfRule>
    <cfRule type="cellIs" dxfId="115" priority="3" operator="greaterThan">
      <formula>0</formula>
    </cfRule>
  </conditionalFormatting>
  <conditionalFormatting sqref="D49">
    <cfRule type="cellIs" dxfId="114" priority="1" operator="greaterThan">
      <formula>0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5277D1-A664-42A9-9AEA-28DAA0ED2A42}">
  <sheetPr codeName="Taul2"/>
  <dimension ref="G3:AR109"/>
  <sheetViews>
    <sheetView topLeftCell="A76" zoomScale="40" zoomScaleNormal="40" workbookViewId="0">
      <selection sqref="A1:XFD1048576"/>
    </sheetView>
  </sheetViews>
  <sheetFormatPr defaultRowHeight="14.5" x14ac:dyDescent="0.35"/>
  <cols>
    <col min="1" max="1" width="11.453125" style="49" bestFit="1" customWidth="1"/>
    <col min="2" max="2" width="15.26953125" style="49" customWidth="1"/>
    <col min="3" max="3" width="26" style="49" customWidth="1"/>
    <col min="4" max="4" width="34.7265625" style="49" customWidth="1"/>
    <col min="5" max="5" width="33.26953125" style="49" customWidth="1"/>
    <col min="6" max="6" width="23" style="49" bestFit="1" customWidth="1"/>
    <col min="7" max="7" width="21.54296875" style="49" customWidth="1"/>
    <col min="8" max="8" width="21.26953125" style="49" customWidth="1"/>
    <col min="9" max="9" width="13.1796875" style="49" customWidth="1"/>
    <col min="10" max="10" width="23.1796875" style="49" customWidth="1"/>
    <col min="11" max="11" width="12.90625" style="49" bestFit="1" customWidth="1"/>
    <col min="12" max="12" width="23.81640625" style="49" customWidth="1"/>
    <col min="13" max="13" width="28.26953125" style="49" customWidth="1"/>
    <col min="14" max="17" width="8.7265625" style="49"/>
    <col min="18" max="18" width="7.7265625" style="49" bestFit="1" customWidth="1"/>
    <col min="19" max="19" width="59.26953125" style="49" bestFit="1" customWidth="1"/>
    <col min="20" max="20" width="29.6328125" style="49" bestFit="1" customWidth="1"/>
    <col min="21" max="21" width="28.26953125" style="49" bestFit="1" customWidth="1"/>
    <col min="22" max="22" width="44.6328125" style="49" bestFit="1" customWidth="1"/>
    <col min="23" max="23" width="47.26953125" style="49" bestFit="1" customWidth="1"/>
    <col min="24" max="24" width="16.81640625" style="49" bestFit="1" customWidth="1"/>
    <col min="25" max="25" width="12.6328125" style="49" bestFit="1" customWidth="1"/>
    <col min="26" max="26" width="32.90625" style="49" bestFit="1" customWidth="1"/>
    <col min="27" max="27" width="14.6328125" style="49" bestFit="1" customWidth="1"/>
    <col min="28" max="28" width="34.54296875" style="49" bestFit="1" customWidth="1"/>
    <col min="29" max="29" width="19.1796875" style="49" bestFit="1" customWidth="1"/>
    <col min="30" max="30" width="20.7265625" style="49" bestFit="1" customWidth="1"/>
    <col min="31" max="31" width="8.7265625" style="49"/>
    <col min="32" max="32" width="10.54296875" style="49" bestFit="1" customWidth="1"/>
    <col min="33" max="33" width="10.6328125" style="49" bestFit="1" customWidth="1"/>
    <col min="34" max="35" width="12.36328125" style="49" bestFit="1" customWidth="1"/>
    <col min="36" max="16384" width="8.7265625" style="49"/>
  </cols>
  <sheetData>
    <row r="3" spans="15:44" x14ac:dyDescent="0.35"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</row>
    <row r="4" spans="15:44" ht="125.25" customHeight="1" x14ac:dyDescent="0.5">
      <c r="P4" s="16"/>
      <c r="Q4" s="16"/>
      <c r="R4" s="17"/>
      <c r="S4" s="17" t="s">
        <v>36</v>
      </c>
      <c r="T4" s="17" t="s">
        <v>37</v>
      </c>
      <c r="U4" s="17" t="s">
        <v>38</v>
      </c>
      <c r="V4" s="17" t="s">
        <v>39</v>
      </c>
      <c r="W4" s="17" t="s">
        <v>40</v>
      </c>
      <c r="X4" s="17" t="s">
        <v>41</v>
      </c>
      <c r="Y4" s="17" t="s">
        <v>42</v>
      </c>
      <c r="Z4" s="17" t="s">
        <v>43</v>
      </c>
      <c r="AA4" s="17" t="s">
        <v>44</v>
      </c>
      <c r="AB4" s="17" t="s">
        <v>45</v>
      </c>
      <c r="AC4" s="17" t="s">
        <v>44</v>
      </c>
      <c r="AD4" s="17" t="s">
        <v>46</v>
      </c>
      <c r="AE4" s="21" t="s">
        <v>47</v>
      </c>
      <c r="AF4" s="21"/>
      <c r="AG4" s="21"/>
      <c r="AH4" s="21"/>
      <c r="AI4" s="21"/>
      <c r="AJ4" s="21"/>
      <c r="AK4" s="21"/>
      <c r="AL4" s="16"/>
      <c r="AM4" s="16"/>
      <c r="AN4" s="16"/>
      <c r="AO4" s="16"/>
      <c r="AP4" s="16"/>
      <c r="AQ4" s="16"/>
      <c r="AR4" s="16"/>
    </row>
    <row r="5" spans="15:44" ht="21" x14ac:dyDescent="0.5">
      <c r="O5" s="16"/>
      <c r="P5" s="16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21"/>
      <c r="AE5" s="21"/>
      <c r="AF5" s="21"/>
      <c r="AG5" s="21"/>
      <c r="AH5" s="21"/>
      <c r="AI5" s="21"/>
      <c r="AJ5" s="21"/>
      <c r="AK5" s="16"/>
      <c r="AL5" s="16"/>
      <c r="AM5" s="16"/>
      <c r="AN5" s="16"/>
      <c r="AO5" s="16"/>
      <c r="AP5" s="16"/>
      <c r="AQ5" s="16"/>
    </row>
    <row r="6" spans="15:44" ht="186.75" customHeight="1" x14ac:dyDescent="0.5">
      <c r="O6" s="16"/>
      <c r="P6" s="16"/>
      <c r="Q6" s="17"/>
      <c r="R6" s="17" t="s">
        <v>67</v>
      </c>
      <c r="S6" s="17" t="s">
        <v>15</v>
      </c>
      <c r="T6" s="17">
        <v>15</v>
      </c>
      <c r="U6" s="17">
        <v>12.4</v>
      </c>
      <c r="V6" s="17">
        <v>10979.1</v>
      </c>
      <c r="W6" s="17">
        <v>875</v>
      </c>
      <c r="X6" s="17">
        <v>0.28000000000000003</v>
      </c>
      <c r="Y6" s="18">
        <v>3038.0000000000005</v>
      </c>
      <c r="Z6" s="17">
        <v>0</v>
      </c>
      <c r="AA6" s="18">
        <v>0</v>
      </c>
      <c r="AB6" s="17" t="s">
        <v>53</v>
      </c>
      <c r="AC6" s="17" t="s">
        <v>57</v>
      </c>
      <c r="AD6" s="21"/>
      <c r="AE6" s="21"/>
      <c r="AF6" s="21"/>
      <c r="AG6" s="21"/>
      <c r="AH6" s="21"/>
      <c r="AI6" s="21"/>
      <c r="AJ6" s="21"/>
      <c r="AK6" s="16"/>
      <c r="AL6" s="16"/>
      <c r="AM6" s="16"/>
      <c r="AN6" s="16"/>
      <c r="AO6" s="16"/>
      <c r="AP6" s="16"/>
      <c r="AQ6" s="16"/>
    </row>
    <row r="7" spans="15:44" ht="21" x14ac:dyDescent="0.5">
      <c r="O7" s="16"/>
      <c r="P7" s="16"/>
      <c r="Q7" s="17"/>
      <c r="R7" s="17" t="s">
        <v>67</v>
      </c>
      <c r="S7" s="17" t="s">
        <v>26</v>
      </c>
      <c r="T7" s="17">
        <v>28</v>
      </c>
      <c r="U7" s="17">
        <v>31</v>
      </c>
      <c r="V7" s="17">
        <v>21486.5</v>
      </c>
      <c r="W7" s="17">
        <v>474</v>
      </c>
      <c r="X7" s="17">
        <v>0.09</v>
      </c>
      <c r="Y7" s="18">
        <v>1322.46</v>
      </c>
      <c r="Z7" s="17">
        <v>1.6</v>
      </c>
      <c r="AA7" s="18">
        <v>23510.400000000001</v>
      </c>
      <c r="AB7" s="17" t="s">
        <v>53</v>
      </c>
      <c r="AC7" s="17" t="s">
        <v>57</v>
      </c>
      <c r="AD7" s="21"/>
      <c r="AE7" s="21"/>
      <c r="AF7" s="21"/>
      <c r="AG7" s="21"/>
      <c r="AH7" s="21"/>
      <c r="AI7" s="21"/>
      <c r="AJ7" s="21"/>
      <c r="AK7" s="16"/>
      <c r="AL7" s="16"/>
      <c r="AM7" s="16"/>
      <c r="AN7" s="16"/>
      <c r="AO7" s="16"/>
      <c r="AP7" s="16"/>
      <c r="AQ7" s="16"/>
    </row>
    <row r="8" spans="15:44" ht="21" x14ac:dyDescent="0.5">
      <c r="O8" s="16"/>
      <c r="P8" s="16"/>
      <c r="Q8" s="17"/>
      <c r="R8" s="17" t="s">
        <v>67</v>
      </c>
      <c r="S8" s="17" t="s">
        <v>20</v>
      </c>
      <c r="T8" s="17">
        <v>80</v>
      </c>
      <c r="U8" s="19">
        <v>84.5</v>
      </c>
      <c r="V8" s="17">
        <v>59234.9</v>
      </c>
      <c r="W8" s="17">
        <v>470</v>
      </c>
      <c r="X8" s="17">
        <v>0.2</v>
      </c>
      <c r="Y8" s="18">
        <v>7943</v>
      </c>
      <c r="Z8" s="17">
        <v>1.6</v>
      </c>
      <c r="AA8" s="18">
        <v>63544</v>
      </c>
      <c r="AB8" s="17" t="s">
        <v>53</v>
      </c>
      <c r="AC8" s="17" t="s">
        <v>54</v>
      </c>
      <c r="AD8" s="21"/>
      <c r="AE8" s="21"/>
      <c r="AF8" s="21"/>
      <c r="AG8" s="21"/>
      <c r="AH8" s="21"/>
      <c r="AI8" s="21"/>
      <c r="AJ8" s="21"/>
      <c r="AK8" s="16"/>
      <c r="AL8" s="16"/>
      <c r="AM8" s="16"/>
      <c r="AN8" s="16"/>
      <c r="AO8" s="16"/>
      <c r="AP8" s="16"/>
      <c r="AQ8" s="16"/>
    </row>
    <row r="9" spans="15:44" ht="26" x14ac:dyDescent="0.6">
      <c r="O9" s="16"/>
      <c r="P9" s="16"/>
      <c r="Q9" s="17"/>
      <c r="R9" s="17" t="s">
        <v>67</v>
      </c>
      <c r="S9" s="17" t="s">
        <v>52</v>
      </c>
      <c r="T9" s="17">
        <v>220</v>
      </c>
      <c r="U9" s="17">
        <v>237</v>
      </c>
      <c r="V9" s="17">
        <v>118498.5</v>
      </c>
      <c r="W9" s="17">
        <v>61</v>
      </c>
      <c r="X9" s="17">
        <v>1.5</v>
      </c>
      <c r="Y9" s="18">
        <v>21685.5</v>
      </c>
      <c r="Z9" s="17">
        <v>0</v>
      </c>
      <c r="AA9" s="18">
        <v>0</v>
      </c>
      <c r="AB9" s="17" t="s">
        <v>53</v>
      </c>
      <c r="AC9" s="17" t="s">
        <v>54</v>
      </c>
      <c r="AD9" s="22"/>
      <c r="AE9" s="22"/>
      <c r="AF9" s="22" t="s">
        <v>160</v>
      </c>
      <c r="AG9" s="22"/>
      <c r="AH9" s="22" t="s">
        <v>161</v>
      </c>
      <c r="AI9" s="22"/>
      <c r="AJ9" s="21"/>
      <c r="AK9" s="16"/>
      <c r="AL9" s="16"/>
      <c r="AM9" s="16"/>
      <c r="AN9" s="16"/>
      <c r="AO9" s="16"/>
      <c r="AP9" s="16"/>
      <c r="AQ9" s="16"/>
    </row>
    <row r="10" spans="15:44" ht="55" x14ac:dyDescent="0.6">
      <c r="O10" s="16"/>
      <c r="P10" s="16"/>
      <c r="Q10" s="17"/>
      <c r="R10" s="23" t="s">
        <v>75</v>
      </c>
      <c r="S10" s="23" t="s">
        <v>68</v>
      </c>
      <c r="T10" s="23" t="s">
        <v>76</v>
      </c>
      <c r="U10" s="24">
        <v>100</v>
      </c>
      <c r="V10" s="24">
        <v>118.3</v>
      </c>
      <c r="W10" s="24">
        <v>4717.8</v>
      </c>
      <c r="X10" s="24">
        <v>33</v>
      </c>
      <c r="Y10" s="24">
        <v>1.5</v>
      </c>
      <c r="Z10" s="25">
        <f t="shared" ref="Z10:Z22" si="0">(X10*V10)*Y10</f>
        <v>5855.85</v>
      </c>
      <c r="AA10" s="24">
        <v>0</v>
      </c>
      <c r="AB10" s="25">
        <f t="shared" ref="AB10:AB22" si="1">(X10*V10)*AA10</f>
        <v>0</v>
      </c>
      <c r="AC10" s="23" t="s">
        <v>53</v>
      </c>
      <c r="AD10" s="23" t="s">
        <v>54</v>
      </c>
      <c r="AE10" s="22" t="s">
        <v>191</v>
      </c>
      <c r="AF10" s="26">
        <f>Z10+Z12+Z15+Z18</f>
        <v>11291.1</v>
      </c>
      <c r="AG10" s="22"/>
      <c r="AH10" s="22"/>
      <c r="AI10" s="21"/>
      <c r="AJ10" s="21"/>
      <c r="AK10" s="16"/>
      <c r="AL10" s="16"/>
      <c r="AM10" s="16"/>
      <c r="AN10" s="16"/>
      <c r="AO10" s="16"/>
      <c r="AP10" s="16"/>
      <c r="AQ10" s="16"/>
    </row>
    <row r="11" spans="15:44" ht="55" x14ac:dyDescent="0.6">
      <c r="O11" s="16"/>
      <c r="P11" s="16"/>
      <c r="Q11" s="17"/>
      <c r="R11" s="23" t="s">
        <v>86</v>
      </c>
      <c r="S11" s="23" t="s">
        <v>68</v>
      </c>
      <c r="T11" s="23" t="s">
        <v>87</v>
      </c>
      <c r="U11" s="24">
        <v>18</v>
      </c>
      <c r="V11" s="24">
        <v>25</v>
      </c>
      <c r="W11" s="24">
        <v>20537.900000000001</v>
      </c>
      <c r="X11" s="24">
        <v>610</v>
      </c>
      <c r="Y11" s="24">
        <v>0.42</v>
      </c>
      <c r="Z11" s="24">
        <v>6405</v>
      </c>
      <c r="AA11" s="24">
        <v>1.5</v>
      </c>
      <c r="AB11" s="27">
        <v>22875</v>
      </c>
      <c r="AC11" s="23" t="s">
        <v>53</v>
      </c>
      <c r="AD11" s="23" t="s">
        <v>57</v>
      </c>
      <c r="AE11" s="22" t="s">
        <v>192</v>
      </c>
      <c r="AF11" s="26">
        <f>Z11+Z17</f>
        <v>7814.1</v>
      </c>
      <c r="AG11" s="22"/>
      <c r="AH11" s="26">
        <f>AB11+AB17</f>
        <v>27907.5</v>
      </c>
      <c r="AI11" s="21"/>
      <c r="AJ11" s="21"/>
      <c r="AK11" s="16"/>
      <c r="AL11" s="16"/>
      <c r="AM11" s="16"/>
      <c r="AN11" s="16"/>
      <c r="AO11" s="16"/>
      <c r="AP11" s="16"/>
      <c r="AQ11" s="16"/>
    </row>
    <row r="12" spans="15:44" ht="55" x14ac:dyDescent="0.6">
      <c r="O12" s="16"/>
      <c r="P12" s="16"/>
      <c r="Q12" s="17"/>
      <c r="R12" s="23" t="s">
        <v>50</v>
      </c>
      <c r="S12" s="23" t="s">
        <v>68</v>
      </c>
      <c r="T12" s="23" t="s">
        <v>52</v>
      </c>
      <c r="U12" s="24">
        <v>30</v>
      </c>
      <c r="V12" s="24">
        <v>42</v>
      </c>
      <c r="W12" s="24">
        <v>21393.7</v>
      </c>
      <c r="X12" s="24">
        <v>61</v>
      </c>
      <c r="Y12" s="24">
        <v>1.5</v>
      </c>
      <c r="Z12" s="25">
        <f t="shared" si="0"/>
        <v>3843</v>
      </c>
      <c r="AA12" s="24">
        <v>0</v>
      </c>
      <c r="AB12" s="25">
        <f t="shared" si="1"/>
        <v>0</v>
      </c>
      <c r="AC12" s="23" t="s">
        <v>53</v>
      </c>
      <c r="AD12" s="23" t="s">
        <v>57</v>
      </c>
      <c r="AE12" s="22" t="s">
        <v>188</v>
      </c>
      <c r="AF12" s="26">
        <f>Z13+Z19+Z22</f>
        <v>15510</v>
      </c>
      <c r="AG12" s="22"/>
      <c r="AH12" s="26">
        <f>AB13+AB19+AB22</f>
        <v>124080</v>
      </c>
      <c r="AI12" s="21"/>
      <c r="AJ12" s="21"/>
      <c r="AK12" s="16"/>
      <c r="AL12" s="16"/>
      <c r="AM12" s="16"/>
      <c r="AN12" s="16"/>
      <c r="AO12" s="16"/>
      <c r="AP12" s="16"/>
      <c r="AQ12" s="16"/>
    </row>
    <row r="13" spans="15:44" ht="55" x14ac:dyDescent="0.6">
      <c r="O13" s="16"/>
      <c r="P13" s="16"/>
      <c r="Q13" s="17"/>
      <c r="R13" s="23" t="s">
        <v>89</v>
      </c>
      <c r="S13" s="23" t="s">
        <v>68</v>
      </c>
      <c r="T13" s="23" t="s">
        <v>20</v>
      </c>
      <c r="U13" s="24">
        <v>80</v>
      </c>
      <c r="V13" s="24">
        <v>114.5</v>
      </c>
      <c r="W13" s="24">
        <v>79932.399999999994</v>
      </c>
      <c r="X13" s="24">
        <v>470</v>
      </c>
      <c r="Y13" s="24">
        <v>0.2</v>
      </c>
      <c r="Z13" s="25">
        <f t="shared" si="0"/>
        <v>10763</v>
      </c>
      <c r="AA13" s="24">
        <v>1.6</v>
      </c>
      <c r="AB13" s="25">
        <f t="shared" si="1"/>
        <v>86104</v>
      </c>
      <c r="AC13" s="23" t="s">
        <v>53</v>
      </c>
      <c r="AD13" s="23" t="s">
        <v>54</v>
      </c>
      <c r="AE13" s="22" t="s">
        <v>4</v>
      </c>
      <c r="AF13" s="26">
        <f>Z14+Z20</f>
        <v>19426.367999999999</v>
      </c>
      <c r="AG13" s="22"/>
      <c r="AH13" s="22"/>
      <c r="AI13" s="21"/>
      <c r="AJ13" s="21"/>
      <c r="AK13" s="16"/>
      <c r="AL13" s="16"/>
      <c r="AM13" s="16"/>
      <c r="AN13" s="16"/>
      <c r="AO13" s="16"/>
      <c r="AP13" s="16"/>
      <c r="AQ13" s="16"/>
    </row>
    <row r="14" spans="15:44" ht="55" x14ac:dyDescent="0.6">
      <c r="O14" s="16"/>
      <c r="P14" s="16"/>
      <c r="Q14" s="17"/>
      <c r="R14" s="23" t="s">
        <v>101</v>
      </c>
      <c r="S14" s="23" t="s">
        <v>68</v>
      </c>
      <c r="T14" s="23" t="s">
        <v>4</v>
      </c>
      <c r="U14" s="24">
        <v>40</v>
      </c>
      <c r="V14" s="24">
        <v>57.8</v>
      </c>
      <c r="W14" s="24">
        <v>102691.1</v>
      </c>
      <c r="X14" s="24">
        <v>2353</v>
      </c>
      <c r="Y14" s="24">
        <v>0.12</v>
      </c>
      <c r="Z14" s="25">
        <f t="shared" si="0"/>
        <v>16320.407999999999</v>
      </c>
      <c r="AA14" s="24">
        <v>0</v>
      </c>
      <c r="AB14" s="25">
        <f t="shared" si="1"/>
        <v>0</v>
      </c>
      <c r="AC14" s="23" t="s">
        <v>53</v>
      </c>
      <c r="AD14" s="23" t="s">
        <v>57</v>
      </c>
      <c r="AE14" s="22" t="s">
        <v>15</v>
      </c>
      <c r="AF14" s="26">
        <f>Z16+Z21</f>
        <v>3797.5000000000009</v>
      </c>
      <c r="AG14" s="22"/>
      <c r="AH14" s="22"/>
      <c r="AI14" s="21"/>
      <c r="AJ14" s="21"/>
      <c r="AK14" s="16"/>
      <c r="AL14" s="16"/>
      <c r="AM14" s="16"/>
      <c r="AN14" s="16"/>
      <c r="AO14" s="16"/>
      <c r="AP14" s="16"/>
      <c r="AQ14" s="16"/>
    </row>
    <row r="15" spans="15:44" ht="55" x14ac:dyDescent="0.6">
      <c r="O15" s="16"/>
      <c r="P15" s="16"/>
      <c r="Q15" s="17"/>
      <c r="R15" s="23" t="s">
        <v>75</v>
      </c>
      <c r="S15" s="23" t="s">
        <v>65</v>
      </c>
      <c r="T15" s="23" t="s">
        <v>76</v>
      </c>
      <c r="U15" s="24">
        <v>100</v>
      </c>
      <c r="V15" s="24">
        <v>22</v>
      </c>
      <c r="W15" s="24">
        <v>883.1</v>
      </c>
      <c r="X15" s="24">
        <v>33</v>
      </c>
      <c r="Y15" s="24">
        <v>1.5</v>
      </c>
      <c r="Z15" s="25">
        <f t="shared" si="0"/>
        <v>1089</v>
      </c>
      <c r="AA15" s="24">
        <v>0</v>
      </c>
      <c r="AB15" s="25">
        <f t="shared" si="1"/>
        <v>0</v>
      </c>
      <c r="AC15" s="23" t="s">
        <v>53</v>
      </c>
      <c r="AD15" s="23" t="s">
        <v>57</v>
      </c>
      <c r="AE15" s="22" t="s">
        <v>179</v>
      </c>
      <c r="AF15" s="26">
        <f>Z23</f>
        <v>16378.56</v>
      </c>
      <c r="AG15" s="26">
        <f>AB23</f>
        <v>72793.600000000006</v>
      </c>
      <c r="AH15" s="22"/>
      <c r="AI15" s="21"/>
      <c r="AJ15" s="21"/>
      <c r="AK15" s="16"/>
      <c r="AL15" s="16"/>
      <c r="AM15" s="16"/>
      <c r="AN15" s="16"/>
      <c r="AO15" s="16"/>
      <c r="AP15" s="16"/>
      <c r="AQ15" s="16"/>
    </row>
    <row r="16" spans="15:44" ht="55" x14ac:dyDescent="0.6">
      <c r="O16" s="16"/>
      <c r="P16" s="16"/>
      <c r="Q16" s="17"/>
      <c r="R16" s="23" t="s">
        <v>79</v>
      </c>
      <c r="S16" s="23" t="s">
        <v>65</v>
      </c>
      <c r="T16" s="23" t="s">
        <v>15</v>
      </c>
      <c r="U16" s="24">
        <v>13</v>
      </c>
      <c r="V16" s="24">
        <v>5.5</v>
      </c>
      <c r="W16" s="24">
        <v>2798</v>
      </c>
      <c r="X16" s="24">
        <v>875</v>
      </c>
      <c r="Y16" s="24">
        <v>0.28000000000000003</v>
      </c>
      <c r="Z16" s="25">
        <f t="shared" si="0"/>
        <v>1347.5000000000002</v>
      </c>
      <c r="AA16" s="24">
        <v>0</v>
      </c>
      <c r="AB16" s="25">
        <f t="shared" si="1"/>
        <v>0</v>
      </c>
      <c r="AC16" s="23" t="s">
        <v>53</v>
      </c>
      <c r="AD16" s="23" t="s">
        <v>57</v>
      </c>
      <c r="AE16" s="22"/>
      <c r="AF16" s="24"/>
      <c r="AG16" s="24"/>
      <c r="AH16" s="25"/>
      <c r="AI16" s="24"/>
      <c r="AJ16" s="25"/>
      <c r="AK16" s="16"/>
      <c r="AL16" s="16"/>
      <c r="AM16" s="16"/>
      <c r="AN16" s="16"/>
      <c r="AO16" s="16"/>
      <c r="AP16" s="16"/>
      <c r="AQ16" s="16"/>
    </row>
    <row r="17" spans="15:43" ht="55" x14ac:dyDescent="0.6">
      <c r="O17" s="16"/>
      <c r="P17" s="16"/>
      <c r="Q17" s="17"/>
      <c r="R17" s="23" t="s">
        <v>86</v>
      </c>
      <c r="S17" s="23" t="s">
        <v>65</v>
      </c>
      <c r="T17" s="23" t="s">
        <v>87</v>
      </c>
      <c r="U17" s="24">
        <v>18</v>
      </c>
      <c r="V17" s="24">
        <v>5.5</v>
      </c>
      <c r="W17" s="24">
        <v>3838</v>
      </c>
      <c r="X17" s="24">
        <v>610</v>
      </c>
      <c r="Y17" s="24">
        <v>0.42</v>
      </c>
      <c r="Z17" s="24">
        <v>1409.1</v>
      </c>
      <c r="AA17" s="24">
        <v>1.5</v>
      </c>
      <c r="AB17" s="27">
        <v>5032.5</v>
      </c>
      <c r="AC17" s="27"/>
      <c r="AD17" s="23" t="s">
        <v>57</v>
      </c>
      <c r="AE17" s="22"/>
      <c r="AF17" s="24"/>
      <c r="AG17" s="24"/>
      <c r="AH17" s="25"/>
      <c r="AI17" s="24"/>
      <c r="AJ17" s="25"/>
      <c r="AK17" s="16"/>
      <c r="AL17" s="16"/>
      <c r="AM17" s="16"/>
      <c r="AN17" s="16"/>
      <c r="AO17" s="16"/>
      <c r="AP17" s="16"/>
      <c r="AQ17" s="16"/>
    </row>
    <row r="18" spans="15:43" ht="55" x14ac:dyDescent="0.6">
      <c r="O18" s="16"/>
      <c r="P18" s="16"/>
      <c r="Q18" s="17"/>
      <c r="R18" s="23" t="s">
        <v>50</v>
      </c>
      <c r="S18" s="23" t="s">
        <v>65</v>
      </c>
      <c r="T18" s="23" t="s">
        <v>52</v>
      </c>
      <c r="U18" s="24">
        <v>30</v>
      </c>
      <c r="V18" s="24">
        <v>5.5</v>
      </c>
      <c r="W18" s="24">
        <v>3996.8</v>
      </c>
      <c r="X18" s="24">
        <v>61</v>
      </c>
      <c r="Y18" s="24">
        <v>1.5</v>
      </c>
      <c r="Z18" s="25">
        <f t="shared" si="0"/>
        <v>503.25</v>
      </c>
      <c r="AA18" s="24">
        <v>0</v>
      </c>
      <c r="AB18" s="25">
        <f t="shared" si="1"/>
        <v>0</v>
      </c>
      <c r="AC18" s="23" t="s">
        <v>53</v>
      </c>
      <c r="AD18" s="23" t="s">
        <v>57</v>
      </c>
      <c r="AE18" s="22"/>
      <c r="AF18" s="22"/>
      <c r="AG18" s="22"/>
      <c r="AH18" s="22"/>
      <c r="AI18" s="21"/>
      <c r="AJ18" s="21"/>
      <c r="AK18" s="16"/>
      <c r="AL18" s="16"/>
      <c r="AM18" s="16"/>
      <c r="AN18" s="16"/>
      <c r="AO18" s="16"/>
      <c r="AP18" s="16"/>
      <c r="AQ18" s="16"/>
    </row>
    <row r="19" spans="15:43" ht="55" x14ac:dyDescent="0.6">
      <c r="O19" s="16"/>
      <c r="P19" s="16"/>
      <c r="Q19" s="17"/>
      <c r="R19" s="23" t="s">
        <v>89</v>
      </c>
      <c r="S19" s="23" t="s">
        <v>65</v>
      </c>
      <c r="T19" s="23" t="s">
        <v>20</v>
      </c>
      <c r="U19" s="24">
        <v>80</v>
      </c>
      <c r="V19" s="24">
        <v>22</v>
      </c>
      <c r="W19" s="24">
        <v>14923.1</v>
      </c>
      <c r="X19" s="24">
        <v>470</v>
      </c>
      <c r="Y19" s="24">
        <v>0.2</v>
      </c>
      <c r="Z19" s="25">
        <f t="shared" si="0"/>
        <v>2068</v>
      </c>
      <c r="AA19" s="24">
        <v>1.6</v>
      </c>
      <c r="AB19" s="25">
        <f t="shared" si="1"/>
        <v>16544</v>
      </c>
      <c r="AC19" s="23" t="s">
        <v>53</v>
      </c>
      <c r="AD19" s="23" t="s">
        <v>57</v>
      </c>
      <c r="AE19" s="22"/>
      <c r="AF19" s="22"/>
      <c r="AG19" s="22"/>
      <c r="AH19" s="22"/>
      <c r="AI19" s="21"/>
      <c r="AJ19" s="21"/>
      <c r="AK19" s="16"/>
      <c r="AL19" s="16"/>
      <c r="AM19" s="16"/>
      <c r="AN19" s="16"/>
      <c r="AO19" s="16"/>
      <c r="AP19" s="16"/>
      <c r="AQ19" s="16"/>
    </row>
    <row r="20" spans="15:43" ht="55" x14ac:dyDescent="0.6">
      <c r="O20" s="16"/>
      <c r="P20" s="16"/>
      <c r="Q20" s="17"/>
      <c r="R20" s="23" t="s">
        <v>101</v>
      </c>
      <c r="S20" s="23" t="s">
        <v>65</v>
      </c>
      <c r="T20" s="23" t="s">
        <v>4</v>
      </c>
      <c r="U20" s="24">
        <v>40</v>
      </c>
      <c r="V20" s="24">
        <v>11</v>
      </c>
      <c r="W20" s="24">
        <v>19186.7</v>
      </c>
      <c r="X20" s="24">
        <v>2353</v>
      </c>
      <c r="Y20" s="24">
        <v>0.12</v>
      </c>
      <c r="Z20" s="25">
        <f t="shared" si="0"/>
        <v>3105.96</v>
      </c>
      <c r="AA20" s="24">
        <v>0</v>
      </c>
      <c r="AB20" s="25">
        <f t="shared" si="1"/>
        <v>0</v>
      </c>
      <c r="AC20" s="23" t="s">
        <v>53</v>
      </c>
      <c r="AD20" s="23" t="s">
        <v>57</v>
      </c>
      <c r="AE20" s="22"/>
      <c r="AF20" s="22"/>
      <c r="AG20" s="22"/>
      <c r="AH20" s="22"/>
      <c r="AI20" s="21"/>
      <c r="AJ20" s="21"/>
      <c r="AK20" s="16"/>
      <c r="AL20" s="16"/>
      <c r="AM20" s="16"/>
      <c r="AN20" s="16"/>
      <c r="AO20" s="16"/>
      <c r="AP20" s="16"/>
      <c r="AQ20" s="16"/>
    </row>
    <row r="21" spans="15:43" ht="55" x14ac:dyDescent="0.6">
      <c r="O21" s="16"/>
      <c r="P21" s="16"/>
      <c r="Q21" s="17"/>
      <c r="R21" s="23" t="s">
        <v>79</v>
      </c>
      <c r="S21" s="23" t="s">
        <v>69</v>
      </c>
      <c r="T21" s="23" t="s">
        <v>15</v>
      </c>
      <c r="U21" s="24">
        <v>15</v>
      </c>
      <c r="V21" s="24">
        <v>10</v>
      </c>
      <c r="W21" s="24">
        <v>8820.7999999999993</v>
      </c>
      <c r="X21" s="24">
        <v>875</v>
      </c>
      <c r="Y21" s="24">
        <v>0.28000000000000003</v>
      </c>
      <c r="Z21" s="25">
        <f t="shared" si="0"/>
        <v>2450.0000000000005</v>
      </c>
      <c r="AA21" s="24">
        <v>0</v>
      </c>
      <c r="AB21" s="25">
        <f t="shared" si="1"/>
        <v>0</v>
      </c>
      <c r="AC21" s="23" t="s">
        <v>53</v>
      </c>
      <c r="AD21" s="23" t="s">
        <v>54</v>
      </c>
      <c r="AE21" s="22"/>
      <c r="AF21" s="22"/>
      <c r="AG21" s="22"/>
      <c r="AH21" s="22"/>
      <c r="AI21" s="21"/>
      <c r="AJ21" s="21"/>
      <c r="AK21" s="16"/>
      <c r="AL21" s="16"/>
      <c r="AM21" s="16"/>
      <c r="AN21" s="16"/>
      <c r="AO21" s="16"/>
      <c r="AP21" s="16"/>
      <c r="AQ21" s="16"/>
    </row>
    <row r="22" spans="15:43" ht="55" x14ac:dyDescent="0.6">
      <c r="O22" s="16"/>
      <c r="P22" s="16"/>
      <c r="Q22" s="17"/>
      <c r="R22" s="23" t="s">
        <v>89</v>
      </c>
      <c r="S22" s="23" t="s">
        <v>69</v>
      </c>
      <c r="T22" s="23" t="s">
        <v>20</v>
      </c>
      <c r="U22" s="24">
        <v>120</v>
      </c>
      <c r="V22" s="24">
        <v>28.5</v>
      </c>
      <c r="W22" s="24">
        <v>19964.8</v>
      </c>
      <c r="X22" s="24">
        <v>470</v>
      </c>
      <c r="Y22" s="24">
        <v>0.2</v>
      </c>
      <c r="Z22" s="25">
        <f t="shared" si="0"/>
        <v>2679</v>
      </c>
      <c r="AA22" s="24">
        <v>1.6</v>
      </c>
      <c r="AB22" s="25">
        <f t="shared" si="1"/>
        <v>21432</v>
      </c>
      <c r="AC22" s="23" t="s">
        <v>53</v>
      </c>
      <c r="AD22" s="23" t="s">
        <v>57</v>
      </c>
      <c r="AE22" s="22"/>
      <c r="AF22" s="22"/>
      <c r="AG22" s="22"/>
      <c r="AH22" s="22"/>
      <c r="AI22" s="21"/>
      <c r="AJ22" s="21"/>
      <c r="AK22" s="16"/>
      <c r="AL22" s="16"/>
      <c r="AM22" s="16"/>
      <c r="AN22" s="16"/>
      <c r="AO22" s="16"/>
      <c r="AP22" s="16"/>
      <c r="AQ22" s="16"/>
    </row>
    <row r="23" spans="15:43" ht="55" x14ac:dyDescent="0.5">
      <c r="O23" s="16"/>
      <c r="P23" s="16"/>
      <c r="Q23" s="17"/>
      <c r="R23" s="23" t="s">
        <v>89</v>
      </c>
      <c r="S23" s="23" t="s">
        <v>82</v>
      </c>
      <c r="T23" s="23" t="s">
        <v>24</v>
      </c>
      <c r="U23" s="24">
        <v>51</v>
      </c>
      <c r="V23" s="24">
        <v>96.8</v>
      </c>
      <c r="W23" s="24">
        <v>61423.6</v>
      </c>
      <c r="X23" s="24">
        <v>470</v>
      </c>
      <c r="Y23" s="24">
        <v>0.36</v>
      </c>
      <c r="Z23" s="25">
        <f>(X23*V23)*Y23</f>
        <v>16378.56</v>
      </c>
      <c r="AA23" s="24">
        <v>1.6</v>
      </c>
      <c r="AB23" s="25">
        <f>(X23*V23)*AA23</f>
        <v>72793.600000000006</v>
      </c>
      <c r="AC23" s="23" t="s">
        <v>53</v>
      </c>
      <c r="AD23" s="23" t="s">
        <v>54</v>
      </c>
      <c r="AE23" s="21"/>
      <c r="AF23" s="21"/>
      <c r="AG23" s="21"/>
      <c r="AH23" s="21"/>
      <c r="AI23" s="21"/>
      <c r="AJ23" s="21"/>
      <c r="AK23" s="16"/>
      <c r="AL23" s="16"/>
      <c r="AM23" s="16"/>
      <c r="AN23" s="16"/>
      <c r="AO23" s="16"/>
      <c r="AP23" s="16"/>
      <c r="AQ23" s="16"/>
    </row>
    <row r="24" spans="15:43" ht="55" x14ac:dyDescent="0.5">
      <c r="O24" s="16"/>
      <c r="P24" s="16"/>
      <c r="Q24" s="17"/>
      <c r="R24" s="23" t="s">
        <v>95</v>
      </c>
      <c r="S24" s="23" t="s">
        <v>107</v>
      </c>
      <c r="T24" s="23" t="s">
        <v>31</v>
      </c>
      <c r="U24" s="24">
        <v>270</v>
      </c>
      <c r="V24" s="24">
        <v>89</v>
      </c>
      <c r="W24" s="24">
        <v>115655.8</v>
      </c>
      <c r="X24" s="24">
        <v>1410</v>
      </c>
      <c r="Y24" s="24">
        <v>0.17</v>
      </c>
      <c r="Z24" s="25">
        <f>(X24*V24)*Y24</f>
        <v>21333.300000000003</v>
      </c>
      <c r="AA24" s="24">
        <v>0</v>
      </c>
      <c r="AB24" s="25">
        <f>(X24*V24)*AA24</f>
        <v>0</v>
      </c>
      <c r="AC24" s="23" t="s">
        <v>53</v>
      </c>
      <c r="AD24" s="23" t="s">
        <v>54</v>
      </c>
      <c r="AE24" s="21"/>
      <c r="AF24" s="21"/>
      <c r="AG24" s="21"/>
      <c r="AH24" s="21"/>
      <c r="AI24" s="21"/>
      <c r="AJ24" s="21"/>
      <c r="AK24" s="16"/>
      <c r="AL24" s="16"/>
      <c r="AM24" s="16"/>
      <c r="AN24" s="16"/>
      <c r="AO24" s="16"/>
      <c r="AP24" s="16"/>
      <c r="AQ24" s="16"/>
    </row>
    <row r="25" spans="15:43" ht="26" x14ac:dyDescent="0.6">
      <c r="O25" s="16"/>
      <c r="P25" s="16"/>
      <c r="Q25" s="17"/>
      <c r="R25" s="22" t="s">
        <v>75</v>
      </c>
      <c r="S25" s="22" t="s">
        <v>92</v>
      </c>
      <c r="T25" s="22" t="s">
        <v>76</v>
      </c>
      <c r="U25" s="22">
        <v>450</v>
      </c>
      <c r="V25" s="22">
        <v>194.7</v>
      </c>
      <c r="W25" s="22">
        <v>7787.1</v>
      </c>
      <c r="X25" s="22">
        <v>33</v>
      </c>
      <c r="Y25" s="22">
        <v>1.5</v>
      </c>
      <c r="Z25" s="22">
        <v>9637.65</v>
      </c>
      <c r="AA25" s="22">
        <v>0</v>
      </c>
      <c r="AB25" s="22">
        <v>0</v>
      </c>
      <c r="AC25" s="22" t="s">
        <v>53</v>
      </c>
      <c r="AD25" s="22" t="s">
        <v>57</v>
      </c>
      <c r="AE25" s="22"/>
      <c r="AF25" s="22"/>
      <c r="AG25" s="22"/>
      <c r="AH25" s="21"/>
      <c r="AI25" s="21"/>
      <c r="AJ25" s="21"/>
      <c r="AK25" s="16"/>
      <c r="AL25" s="16"/>
      <c r="AM25" s="16"/>
      <c r="AN25" s="16"/>
      <c r="AO25" s="16"/>
      <c r="AP25" s="16"/>
      <c r="AQ25" s="16"/>
    </row>
    <row r="26" spans="15:43" ht="26" x14ac:dyDescent="0.6">
      <c r="O26" s="16"/>
      <c r="P26" s="16"/>
      <c r="Q26" s="17"/>
      <c r="R26" s="22" t="s">
        <v>89</v>
      </c>
      <c r="S26" s="22" t="s">
        <v>92</v>
      </c>
      <c r="T26" s="22" t="s">
        <v>20</v>
      </c>
      <c r="U26" s="22">
        <v>80</v>
      </c>
      <c r="V26" s="22">
        <v>34.6</v>
      </c>
      <c r="W26" s="22">
        <v>24226.7</v>
      </c>
      <c r="X26" s="22">
        <v>470</v>
      </c>
      <c r="Y26" s="22">
        <v>0.2</v>
      </c>
      <c r="Z26" s="22">
        <v>3252.4</v>
      </c>
      <c r="AA26" s="22">
        <v>1.6</v>
      </c>
      <c r="AB26" s="22">
        <v>26019.200000000001</v>
      </c>
      <c r="AC26" s="22" t="s">
        <v>53</v>
      </c>
      <c r="AD26" s="22" t="s">
        <v>54</v>
      </c>
      <c r="AE26" s="22"/>
      <c r="AF26" s="22"/>
      <c r="AG26" s="22"/>
      <c r="AH26" s="21"/>
      <c r="AI26" s="21"/>
      <c r="AJ26" s="21"/>
      <c r="AK26" s="16"/>
      <c r="AL26" s="16"/>
      <c r="AM26" s="16"/>
      <c r="AN26" s="16"/>
      <c r="AO26" s="16"/>
      <c r="AP26" s="16"/>
      <c r="AQ26" s="16"/>
    </row>
    <row r="27" spans="15:43" ht="26" x14ac:dyDescent="0.6">
      <c r="O27" s="16"/>
      <c r="P27" s="16"/>
      <c r="Q27" s="17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1"/>
      <c r="AI27" s="21"/>
      <c r="AJ27" s="21"/>
      <c r="AK27" s="16"/>
      <c r="AL27" s="16"/>
      <c r="AM27" s="16"/>
      <c r="AN27" s="16"/>
      <c r="AO27" s="16"/>
      <c r="AP27" s="16"/>
      <c r="AQ27" s="16"/>
    </row>
    <row r="28" spans="15:43" ht="26" x14ac:dyDescent="0.6">
      <c r="O28" s="16"/>
      <c r="P28" s="16"/>
      <c r="Q28" s="17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1"/>
      <c r="AI28" s="21"/>
      <c r="AJ28" s="21"/>
      <c r="AK28" s="16"/>
      <c r="AL28" s="16"/>
      <c r="AM28" s="16"/>
      <c r="AN28" s="16"/>
      <c r="AO28" s="16"/>
      <c r="AP28" s="16"/>
      <c r="AQ28" s="16"/>
    </row>
    <row r="29" spans="15:43" ht="26" x14ac:dyDescent="0.6">
      <c r="O29" s="16"/>
      <c r="P29" s="16"/>
      <c r="Q29" s="17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1"/>
      <c r="AI29" s="21"/>
      <c r="AJ29" s="21"/>
      <c r="AK29" s="16"/>
      <c r="AL29" s="16"/>
      <c r="AM29" s="16"/>
      <c r="AN29" s="16"/>
      <c r="AO29" s="16"/>
      <c r="AP29" s="16"/>
      <c r="AQ29" s="16"/>
    </row>
    <row r="30" spans="15:43" ht="21" x14ac:dyDescent="0.5">
      <c r="O30" s="16"/>
      <c r="P30" s="16"/>
      <c r="Q30" s="17"/>
      <c r="R30" s="17"/>
      <c r="S30" s="17"/>
      <c r="T30" s="17"/>
      <c r="U30" s="17"/>
      <c r="V30" s="17"/>
      <c r="W30" s="17"/>
      <c r="X30" s="17"/>
      <c r="Y30" s="18"/>
      <c r="Z30" s="17"/>
      <c r="AA30" s="18"/>
      <c r="AB30" s="17"/>
      <c r="AC30" s="17"/>
      <c r="AD30" s="21"/>
      <c r="AE30" s="21"/>
      <c r="AF30" s="21"/>
      <c r="AG30" s="21"/>
      <c r="AH30" s="21"/>
      <c r="AI30" s="21"/>
      <c r="AJ30" s="21"/>
      <c r="AK30" s="16"/>
      <c r="AL30" s="16"/>
      <c r="AM30" s="16"/>
      <c r="AN30" s="16"/>
      <c r="AO30" s="16"/>
      <c r="AP30" s="16"/>
      <c r="AQ30" s="16"/>
    </row>
    <row r="31" spans="15:43" ht="21" x14ac:dyDescent="0.5">
      <c r="O31" s="16"/>
      <c r="P31" s="16"/>
      <c r="Q31" s="17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16"/>
      <c r="AL31" s="16"/>
      <c r="AM31" s="16"/>
      <c r="AN31" s="16"/>
      <c r="AO31" s="16"/>
      <c r="AP31" s="16"/>
      <c r="AQ31" s="16"/>
    </row>
    <row r="32" spans="15:43" ht="21" x14ac:dyDescent="0.5">
      <c r="O32" s="16"/>
      <c r="P32" s="16"/>
      <c r="Q32" s="17"/>
      <c r="R32" s="17"/>
      <c r="S32" s="17"/>
      <c r="T32" s="17"/>
      <c r="U32" s="17"/>
      <c r="V32" s="17"/>
      <c r="W32" s="17"/>
      <c r="X32" s="17"/>
      <c r="Y32" s="18"/>
      <c r="Z32" s="17"/>
      <c r="AA32" s="18"/>
      <c r="AB32" s="17"/>
      <c r="AC32" s="17"/>
      <c r="AD32" s="21"/>
      <c r="AE32" s="21"/>
      <c r="AF32" s="21"/>
      <c r="AG32" s="21"/>
      <c r="AH32" s="21"/>
      <c r="AI32" s="21"/>
      <c r="AJ32" s="21"/>
      <c r="AK32" s="16"/>
      <c r="AL32" s="16"/>
      <c r="AM32" s="16"/>
      <c r="AN32" s="16"/>
      <c r="AO32" s="16"/>
      <c r="AP32" s="16"/>
      <c r="AQ32" s="16"/>
    </row>
    <row r="33" spans="15:43" ht="21" x14ac:dyDescent="0.5">
      <c r="O33" s="16"/>
      <c r="P33" s="16"/>
      <c r="Q33" s="17"/>
      <c r="R33" s="17"/>
      <c r="S33" s="17"/>
      <c r="T33" s="17"/>
      <c r="U33" s="17"/>
      <c r="V33" s="17"/>
      <c r="W33" s="17"/>
      <c r="X33" s="17"/>
      <c r="Y33" s="18"/>
      <c r="Z33" s="17"/>
      <c r="AA33" s="18"/>
      <c r="AB33" s="17"/>
      <c r="AC33" s="17"/>
      <c r="AD33" s="21"/>
      <c r="AE33" s="21"/>
      <c r="AF33" s="21"/>
      <c r="AG33" s="21"/>
      <c r="AH33" s="21"/>
      <c r="AI33" s="21"/>
      <c r="AJ33" s="21"/>
      <c r="AK33" s="16"/>
      <c r="AL33" s="16"/>
      <c r="AM33" s="16"/>
      <c r="AN33" s="16"/>
      <c r="AO33" s="16"/>
      <c r="AP33" s="16"/>
      <c r="AQ33" s="16"/>
    </row>
    <row r="34" spans="15:43" ht="21" x14ac:dyDescent="0.5">
      <c r="O34" s="16"/>
      <c r="P34" s="16"/>
      <c r="Q34" s="17"/>
      <c r="R34" s="17"/>
      <c r="S34" s="17"/>
      <c r="T34" s="17"/>
      <c r="U34" s="17"/>
      <c r="V34" s="17"/>
      <c r="W34" s="17"/>
      <c r="X34" s="17"/>
      <c r="Y34" s="18"/>
      <c r="Z34" s="17"/>
      <c r="AA34" s="18"/>
      <c r="AB34" s="17"/>
      <c r="AC34" s="17"/>
      <c r="AD34" s="21"/>
      <c r="AE34" s="21"/>
      <c r="AF34" s="21"/>
      <c r="AG34" s="21"/>
      <c r="AH34" s="21"/>
      <c r="AI34" s="21"/>
      <c r="AJ34" s="21"/>
      <c r="AK34" s="16"/>
      <c r="AL34" s="16"/>
      <c r="AM34" s="16"/>
      <c r="AN34" s="16"/>
      <c r="AO34" s="16"/>
      <c r="AP34" s="16"/>
      <c r="AQ34" s="16"/>
    </row>
    <row r="35" spans="15:43" ht="21" x14ac:dyDescent="0.5">
      <c r="O35" s="16"/>
      <c r="P35" s="16"/>
      <c r="Q35" s="17"/>
      <c r="R35" s="17"/>
      <c r="S35" s="17"/>
      <c r="T35" s="17"/>
      <c r="U35" s="17"/>
      <c r="V35" s="17"/>
      <c r="W35" s="17"/>
      <c r="X35" s="17"/>
      <c r="Y35" s="18"/>
      <c r="Z35" s="17"/>
      <c r="AA35" s="18"/>
      <c r="AB35" s="17"/>
      <c r="AC35" s="17"/>
      <c r="AD35" s="21"/>
      <c r="AE35" s="21"/>
      <c r="AF35" s="21"/>
      <c r="AG35" s="21"/>
      <c r="AH35" s="21"/>
      <c r="AI35" s="21"/>
      <c r="AJ35" s="21"/>
      <c r="AK35" s="16"/>
      <c r="AL35" s="16"/>
      <c r="AM35" s="16"/>
      <c r="AN35" s="16"/>
      <c r="AO35" s="16"/>
      <c r="AP35" s="16"/>
      <c r="AQ35" s="16"/>
    </row>
    <row r="36" spans="15:43" ht="21" x14ac:dyDescent="0.5">
      <c r="O36" s="16"/>
      <c r="P36" s="16"/>
      <c r="Q36" s="17"/>
      <c r="R36" s="17"/>
      <c r="S36" s="17"/>
      <c r="T36" s="17"/>
      <c r="U36" s="17"/>
      <c r="V36" s="17"/>
      <c r="W36" s="17"/>
      <c r="X36" s="17"/>
      <c r="Y36" s="18"/>
      <c r="Z36" s="17"/>
      <c r="AA36" s="18"/>
      <c r="AB36" s="17"/>
      <c r="AC36" s="17"/>
      <c r="AD36" s="21"/>
      <c r="AE36" s="21"/>
      <c r="AF36" s="21"/>
      <c r="AG36" s="21"/>
      <c r="AH36" s="21"/>
      <c r="AI36" s="21"/>
      <c r="AJ36" s="21"/>
      <c r="AK36" s="16"/>
      <c r="AL36" s="16"/>
      <c r="AM36" s="16"/>
      <c r="AN36" s="16"/>
      <c r="AO36" s="16"/>
      <c r="AP36" s="16"/>
      <c r="AQ36" s="16"/>
    </row>
    <row r="37" spans="15:43" ht="21" x14ac:dyDescent="0.5">
      <c r="O37" s="16"/>
      <c r="P37" s="16"/>
      <c r="Q37" s="17"/>
      <c r="R37" s="17"/>
      <c r="S37" s="17"/>
      <c r="T37" s="17"/>
      <c r="U37" s="17"/>
      <c r="V37" s="17"/>
      <c r="W37" s="17"/>
      <c r="X37" s="17"/>
      <c r="Y37" s="18"/>
      <c r="Z37" s="17"/>
      <c r="AA37" s="18"/>
      <c r="AB37" s="17"/>
      <c r="AC37" s="17"/>
      <c r="AD37" s="21"/>
      <c r="AE37" s="21"/>
      <c r="AF37" s="21"/>
      <c r="AG37" s="21"/>
      <c r="AH37" s="21"/>
      <c r="AI37" s="21"/>
      <c r="AJ37" s="21"/>
      <c r="AK37" s="16"/>
      <c r="AL37" s="16"/>
      <c r="AM37" s="16"/>
      <c r="AN37" s="16"/>
      <c r="AO37" s="16"/>
      <c r="AP37" s="16"/>
      <c r="AQ37" s="16"/>
    </row>
    <row r="38" spans="15:43" ht="21" x14ac:dyDescent="0.5">
      <c r="O38" s="16"/>
      <c r="P38" s="16"/>
      <c r="Q38" s="17"/>
      <c r="R38" s="17"/>
      <c r="S38" s="17"/>
      <c r="T38" s="17"/>
      <c r="U38" s="17"/>
      <c r="V38" s="17"/>
      <c r="W38" s="17"/>
      <c r="X38" s="17"/>
      <c r="Y38" s="18"/>
      <c r="Z38" s="17"/>
      <c r="AA38" s="18"/>
      <c r="AB38" s="17"/>
      <c r="AC38" s="17"/>
      <c r="AD38" s="21"/>
      <c r="AE38" s="21"/>
      <c r="AF38" s="21"/>
      <c r="AG38" s="21"/>
      <c r="AH38" s="21"/>
      <c r="AI38" s="21"/>
      <c r="AJ38" s="21"/>
      <c r="AK38" s="16"/>
      <c r="AL38" s="16"/>
      <c r="AM38" s="16"/>
      <c r="AN38" s="16"/>
      <c r="AO38" s="16"/>
      <c r="AP38" s="16"/>
      <c r="AQ38" s="16"/>
    </row>
    <row r="39" spans="15:43" ht="21" x14ac:dyDescent="0.5">
      <c r="O39" s="16"/>
      <c r="P39" s="16"/>
      <c r="Q39" s="17"/>
      <c r="R39" s="17"/>
      <c r="S39" s="17"/>
      <c r="T39" s="17"/>
      <c r="U39" s="17"/>
      <c r="V39" s="17"/>
      <c r="W39" s="17"/>
      <c r="X39" s="17"/>
      <c r="Y39" s="18"/>
      <c r="Z39" s="17"/>
      <c r="AA39" s="18"/>
      <c r="AB39" s="17"/>
      <c r="AC39" s="17"/>
      <c r="AD39" s="21"/>
      <c r="AE39" s="21"/>
      <c r="AF39" s="21"/>
      <c r="AG39" s="21"/>
      <c r="AH39" s="21"/>
      <c r="AI39" s="21"/>
      <c r="AJ39" s="21"/>
      <c r="AK39" s="16"/>
      <c r="AL39" s="16"/>
      <c r="AM39" s="16"/>
      <c r="AN39" s="16"/>
      <c r="AO39" s="16"/>
      <c r="AP39" s="16"/>
      <c r="AQ39" s="16"/>
    </row>
    <row r="40" spans="15:43" ht="21" x14ac:dyDescent="0.5">
      <c r="O40" s="16"/>
      <c r="P40" s="16"/>
      <c r="Q40" s="17"/>
      <c r="R40" s="17"/>
      <c r="S40" s="17"/>
      <c r="T40" s="17"/>
      <c r="U40" s="17"/>
      <c r="V40" s="17"/>
      <c r="W40" s="17"/>
      <c r="X40" s="17"/>
      <c r="Y40" s="18"/>
      <c r="Z40" s="17"/>
      <c r="AA40" s="18"/>
      <c r="AB40" s="17"/>
      <c r="AC40" s="17"/>
      <c r="AD40" s="21"/>
      <c r="AE40" s="21"/>
      <c r="AF40" s="21"/>
      <c r="AG40" s="21"/>
      <c r="AH40" s="21"/>
      <c r="AI40" s="21"/>
      <c r="AJ40" s="21"/>
      <c r="AK40" s="16"/>
      <c r="AL40" s="16"/>
      <c r="AM40" s="16"/>
      <c r="AN40" s="16"/>
      <c r="AO40" s="16"/>
      <c r="AP40" s="16"/>
      <c r="AQ40" s="16"/>
    </row>
    <row r="41" spans="15:43" ht="21" x14ac:dyDescent="0.5">
      <c r="O41" s="16"/>
      <c r="P41" s="16"/>
      <c r="Q41" s="17"/>
      <c r="R41" s="17"/>
      <c r="S41" s="17"/>
      <c r="T41" s="17"/>
      <c r="U41" s="17"/>
      <c r="V41" s="17"/>
      <c r="W41" s="17"/>
      <c r="X41" s="17"/>
      <c r="Y41" s="18"/>
      <c r="Z41" s="17"/>
      <c r="AA41" s="18"/>
      <c r="AB41" s="17"/>
      <c r="AC41" s="17"/>
      <c r="AD41" s="21"/>
      <c r="AE41" s="21"/>
      <c r="AF41" s="21"/>
      <c r="AG41" s="21"/>
      <c r="AH41" s="21"/>
      <c r="AI41" s="21"/>
      <c r="AJ41" s="21"/>
      <c r="AK41" s="16"/>
      <c r="AL41" s="16"/>
      <c r="AM41" s="16"/>
      <c r="AN41" s="16"/>
      <c r="AO41" s="16"/>
      <c r="AP41" s="16"/>
      <c r="AQ41" s="16"/>
    </row>
    <row r="42" spans="15:43" ht="21" x14ac:dyDescent="0.5">
      <c r="O42" s="16"/>
      <c r="P42" s="16"/>
      <c r="Q42" s="17"/>
      <c r="R42" s="17"/>
      <c r="S42" s="17"/>
      <c r="T42" s="17"/>
      <c r="U42" s="17"/>
      <c r="V42" s="17"/>
      <c r="W42" s="17"/>
      <c r="X42" s="17"/>
      <c r="Y42" s="18"/>
      <c r="Z42" s="17"/>
      <c r="AA42" s="18"/>
      <c r="AB42" s="17"/>
      <c r="AC42" s="17"/>
      <c r="AD42" s="21"/>
      <c r="AE42" s="21"/>
      <c r="AF42" s="21"/>
      <c r="AG42" s="21"/>
      <c r="AH42" s="21"/>
      <c r="AI42" s="21"/>
      <c r="AJ42" s="21"/>
      <c r="AK42" s="16"/>
      <c r="AL42" s="16"/>
      <c r="AM42" s="16"/>
      <c r="AN42" s="16"/>
      <c r="AO42" s="16"/>
      <c r="AP42" s="16"/>
      <c r="AQ42" s="16"/>
    </row>
    <row r="43" spans="15:43" ht="21" x14ac:dyDescent="0.5">
      <c r="O43" s="16"/>
      <c r="P43" s="16"/>
      <c r="Q43" s="17"/>
      <c r="R43" s="17"/>
      <c r="S43" s="17"/>
      <c r="T43" s="17"/>
      <c r="U43" s="17"/>
      <c r="V43" s="17"/>
      <c r="W43" s="17"/>
      <c r="X43" s="17"/>
      <c r="Y43" s="18"/>
      <c r="Z43" s="17"/>
      <c r="AA43" s="18"/>
      <c r="AB43" s="17"/>
      <c r="AC43" s="17"/>
      <c r="AD43" s="21"/>
      <c r="AE43" s="21"/>
      <c r="AF43" s="21"/>
      <c r="AG43" s="21"/>
      <c r="AH43" s="21"/>
      <c r="AI43" s="21"/>
      <c r="AJ43" s="21"/>
      <c r="AK43" s="16"/>
      <c r="AL43" s="16"/>
      <c r="AM43" s="16"/>
      <c r="AN43" s="16"/>
      <c r="AO43" s="16"/>
      <c r="AP43" s="16"/>
      <c r="AQ43" s="16"/>
    </row>
    <row r="44" spans="15:43" ht="21" x14ac:dyDescent="0.5">
      <c r="O44" s="16"/>
      <c r="P44" s="16"/>
      <c r="Q44" s="17"/>
      <c r="R44" s="17"/>
      <c r="S44" s="17"/>
      <c r="T44" s="17"/>
      <c r="U44" s="17"/>
      <c r="V44" s="17"/>
      <c r="W44" s="17"/>
      <c r="X44" s="17"/>
      <c r="Y44" s="18"/>
      <c r="Z44" s="17"/>
      <c r="AA44" s="18"/>
      <c r="AB44" s="17"/>
      <c r="AC44" s="17"/>
      <c r="AD44" s="21"/>
      <c r="AE44" s="21"/>
      <c r="AF44" s="21"/>
      <c r="AG44" s="21"/>
      <c r="AH44" s="21"/>
      <c r="AI44" s="21"/>
      <c r="AJ44" s="21"/>
      <c r="AK44" s="16"/>
      <c r="AL44" s="16"/>
      <c r="AM44" s="16"/>
      <c r="AN44" s="16"/>
      <c r="AO44" s="16"/>
      <c r="AP44" s="16"/>
      <c r="AQ44" s="16"/>
    </row>
    <row r="45" spans="15:43" ht="21" x14ac:dyDescent="0.5">
      <c r="O45" s="16"/>
      <c r="P45" s="16"/>
      <c r="Q45" s="17"/>
      <c r="R45" s="17"/>
      <c r="S45" s="17"/>
      <c r="T45" s="17"/>
      <c r="U45" s="17"/>
      <c r="V45" s="17"/>
      <c r="W45" s="17"/>
      <c r="X45" s="17"/>
      <c r="Y45" s="18"/>
      <c r="Z45" s="17"/>
      <c r="AA45" s="18"/>
      <c r="AB45" s="17"/>
      <c r="AC45" s="17"/>
      <c r="AD45" s="21"/>
      <c r="AE45" s="21"/>
      <c r="AF45" s="21"/>
      <c r="AG45" s="21"/>
      <c r="AH45" s="21"/>
      <c r="AI45" s="21"/>
      <c r="AJ45" s="21"/>
      <c r="AK45" s="16"/>
      <c r="AL45" s="16"/>
      <c r="AM45" s="16"/>
      <c r="AN45" s="16"/>
      <c r="AO45" s="16"/>
      <c r="AP45" s="16"/>
      <c r="AQ45" s="16"/>
    </row>
    <row r="46" spans="15:43" ht="21" x14ac:dyDescent="0.5">
      <c r="O46" s="16"/>
      <c r="P46" s="16"/>
      <c r="Q46" s="17"/>
      <c r="R46" s="17"/>
      <c r="S46" s="17"/>
      <c r="T46" s="17"/>
      <c r="U46" s="17"/>
      <c r="V46" s="17"/>
      <c r="W46" s="17"/>
      <c r="X46" s="17"/>
      <c r="Y46" s="18"/>
      <c r="Z46" s="17"/>
      <c r="AA46" s="18"/>
      <c r="AB46" s="17"/>
      <c r="AC46" s="17"/>
      <c r="AD46" s="21"/>
      <c r="AE46" s="21"/>
      <c r="AF46" s="21"/>
      <c r="AG46" s="21"/>
      <c r="AH46" s="21"/>
      <c r="AI46" s="21"/>
      <c r="AJ46" s="21"/>
      <c r="AK46" s="16"/>
      <c r="AL46" s="16"/>
      <c r="AM46" s="16"/>
      <c r="AN46" s="16"/>
      <c r="AO46" s="16"/>
      <c r="AP46" s="16"/>
      <c r="AQ46" s="16"/>
    </row>
    <row r="47" spans="15:43" ht="21" x14ac:dyDescent="0.5">
      <c r="O47" s="16"/>
      <c r="P47" s="16"/>
      <c r="Q47" s="17"/>
      <c r="R47" s="17"/>
      <c r="S47" s="17"/>
      <c r="T47" s="17"/>
      <c r="U47" s="17"/>
      <c r="V47" s="17"/>
      <c r="W47" s="17"/>
      <c r="X47" s="17"/>
      <c r="Y47" s="18"/>
      <c r="Z47" s="17"/>
      <c r="AA47" s="18"/>
      <c r="AB47" s="17"/>
      <c r="AC47" s="17"/>
      <c r="AD47" s="21"/>
      <c r="AE47" s="21"/>
      <c r="AF47" s="21"/>
      <c r="AG47" s="21"/>
      <c r="AH47" s="21"/>
      <c r="AI47" s="21"/>
      <c r="AJ47" s="21"/>
      <c r="AK47" s="16"/>
      <c r="AL47" s="16"/>
      <c r="AM47" s="16"/>
      <c r="AN47" s="16"/>
      <c r="AO47" s="16"/>
      <c r="AP47" s="16"/>
      <c r="AQ47" s="16"/>
    </row>
    <row r="48" spans="15:43" ht="21" x14ac:dyDescent="0.5">
      <c r="O48" s="16"/>
      <c r="P48" s="16"/>
      <c r="Q48" s="17"/>
      <c r="R48" s="17"/>
      <c r="S48" s="17"/>
      <c r="T48" s="17"/>
      <c r="U48" s="17"/>
      <c r="V48" s="17"/>
      <c r="W48" s="17"/>
      <c r="X48" s="17"/>
      <c r="Y48" s="18"/>
      <c r="Z48" s="17"/>
      <c r="AA48" s="18"/>
      <c r="AB48" s="17"/>
      <c r="AC48" s="17"/>
      <c r="AD48" s="21"/>
      <c r="AE48" s="21"/>
      <c r="AF48" s="21"/>
      <c r="AG48" s="21"/>
      <c r="AH48" s="21"/>
      <c r="AI48" s="21"/>
      <c r="AJ48" s="21"/>
      <c r="AK48" s="16"/>
      <c r="AL48" s="16"/>
      <c r="AM48" s="16"/>
      <c r="AN48" s="16"/>
      <c r="AO48" s="16"/>
      <c r="AP48" s="16"/>
      <c r="AQ48" s="16"/>
    </row>
    <row r="49" spans="15:43" ht="21" x14ac:dyDescent="0.5">
      <c r="O49" s="16"/>
      <c r="P49" s="16"/>
      <c r="Q49" s="17"/>
      <c r="R49" s="17"/>
      <c r="S49" s="17"/>
      <c r="T49" s="17"/>
      <c r="U49" s="17"/>
      <c r="V49" s="17"/>
      <c r="W49" s="17"/>
      <c r="X49" s="17"/>
      <c r="Y49" s="18"/>
      <c r="Z49" s="17"/>
      <c r="AA49" s="18"/>
      <c r="AB49" s="17"/>
      <c r="AC49" s="17"/>
      <c r="AD49" s="21"/>
      <c r="AE49" s="21"/>
      <c r="AF49" s="21"/>
      <c r="AG49" s="21"/>
      <c r="AH49" s="21"/>
      <c r="AI49" s="21"/>
      <c r="AJ49" s="21"/>
      <c r="AK49" s="16"/>
      <c r="AL49" s="16"/>
      <c r="AM49" s="16"/>
      <c r="AN49" s="16"/>
      <c r="AO49" s="16"/>
      <c r="AP49" s="16"/>
      <c r="AQ49" s="16"/>
    </row>
    <row r="50" spans="15:43" ht="21" x14ac:dyDescent="0.5">
      <c r="O50" s="16"/>
      <c r="P50" s="16"/>
      <c r="Q50" s="17"/>
      <c r="R50" s="17"/>
      <c r="S50" s="17"/>
      <c r="T50" s="17"/>
      <c r="U50" s="17"/>
      <c r="V50" s="17"/>
      <c r="W50" s="17"/>
      <c r="X50" s="17"/>
      <c r="Y50" s="18"/>
      <c r="Z50" s="17"/>
      <c r="AA50" s="18"/>
      <c r="AB50" s="17"/>
      <c r="AC50" s="17"/>
      <c r="AD50" s="21"/>
      <c r="AE50" s="21"/>
      <c r="AF50" s="21"/>
      <c r="AG50" s="21"/>
      <c r="AH50" s="21"/>
      <c r="AI50" s="21"/>
      <c r="AJ50" s="21"/>
      <c r="AK50" s="16"/>
      <c r="AL50" s="16"/>
      <c r="AM50" s="16"/>
      <c r="AN50" s="16"/>
      <c r="AO50" s="16"/>
      <c r="AP50" s="16"/>
      <c r="AQ50" s="16"/>
    </row>
    <row r="51" spans="15:43" ht="21" x14ac:dyDescent="0.5">
      <c r="O51" s="16"/>
      <c r="P51" s="16"/>
      <c r="Q51" s="17"/>
      <c r="R51" s="17"/>
      <c r="S51" s="17"/>
      <c r="T51" s="17"/>
      <c r="U51" s="17"/>
      <c r="V51" s="17"/>
      <c r="W51" s="17"/>
      <c r="X51" s="17"/>
      <c r="Y51" s="18"/>
      <c r="Z51" s="17"/>
      <c r="AA51" s="18"/>
      <c r="AB51" s="17"/>
      <c r="AC51" s="17"/>
      <c r="AD51" s="21"/>
      <c r="AE51" s="21"/>
      <c r="AF51" s="21"/>
      <c r="AG51" s="21"/>
      <c r="AH51" s="21"/>
      <c r="AI51" s="21"/>
      <c r="AJ51" s="21"/>
      <c r="AK51" s="16"/>
      <c r="AL51" s="16"/>
      <c r="AM51" s="16"/>
      <c r="AN51" s="16"/>
      <c r="AO51" s="16"/>
      <c r="AP51" s="16"/>
      <c r="AQ51" s="16"/>
    </row>
    <row r="52" spans="15:43" ht="21" x14ac:dyDescent="0.5">
      <c r="O52" s="16"/>
      <c r="P52" s="16"/>
      <c r="Q52" s="17"/>
      <c r="R52" s="17"/>
      <c r="S52" s="17"/>
      <c r="T52" s="17"/>
      <c r="U52" s="17"/>
      <c r="V52" s="17"/>
      <c r="W52" s="17"/>
      <c r="X52" s="17"/>
      <c r="Y52" s="18"/>
      <c r="Z52" s="17"/>
      <c r="AA52" s="18"/>
      <c r="AB52" s="17"/>
      <c r="AC52" s="17"/>
      <c r="AD52" s="21"/>
      <c r="AE52" s="21"/>
      <c r="AF52" s="21"/>
      <c r="AG52" s="21"/>
      <c r="AH52" s="21"/>
      <c r="AI52" s="21"/>
      <c r="AJ52" s="21"/>
      <c r="AK52" s="16"/>
      <c r="AL52" s="16"/>
      <c r="AM52" s="16"/>
      <c r="AN52" s="16"/>
      <c r="AO52" s="16"/>
      <c r="AP52" s="16"/>
      <c r="AQ52" s="16"/>
    </row>
    <row r="53" spans="15:43" ht="21" x14ac:dyDescent="0.5">
      <c r="O53" s="16"/>
      <c r="P53" s="16"/>
      <c r="Q53" s="17"/>
      <c r="R53" s="17"/>
      <c r="S53" s="17"/>
      <c r="T53" s="17"/>
      <c r="U53" s="17"/>
      <c r="V53" s="17"/>
      <c r="W53" s="17"/>
      <c r="X53" s="17"/>
      <c r="Y53" s="18"/>
      <c r="Z53" s="17"/>
      <c r="AA53" s="18"/>
      <c r="AB53" s="17"/>
      <c r="AC53" s="17"/>
      <c r="AD53" s="21"/>
      <c r="AE53" s="21"/>
      <c r="AF53" s="21"/>
      <c r="AG53" s="21"/>
      <c r="AH53" s="21"/>
      <c r="AI53" s="21"/>
      <c r="AJ53" s="21"/>
      <c r="AK53" s="16"/>
      <c r="AL53" s="16"/>
      <c r="AM53" s="16"/>
      <c r="AN53" s="16"/>
      <c r="AO53" s="16"/>
      <c r="AP53" s="16"/>
      <c r="AQ53" s="16"/>
    </row>
    <row r="54" spans="15:43" ht="21" x14ac:dyDescent="0.5">
      <c r="O54" s="16"/>
      <c r="P54" s="16"/>
      <c r="Q54" s="17"/>
      <c r="R54" s="17"/>
      <c r="S54" s="17"/>
      <c r="T54" s="17"/>
      <c r="U54" s="17"/>
      <c r="V54" s="17"/>
      <c r="W54" s="17"/>
      <c r="X54" s="17"/>
      <c r="Y54" s="18"/>
      <c r="Z54" s="17"/>
      <c r="AA54" s="18"/>
      <c r="AB54" s="17"/>
      <c r="AC54" s="17"/>
      <c r="AD54" s="21"/>
      <c r="AE54" s="21"/>
      <c r="AF54" s="21"/>
      <c r="AG54" s="21"/>
      <c r="AH54" s="21"/>
      <c r="AI54" s="21"/>
      <c r="AJ54" s="21"/>
      <c r="AK54" s="16"/>
      <c r="AL54" s="16"/>
      <c r="AM54" s="16"/>
      <c r="AN54" s="16"/>
      <c r="AO54" s="16"/>
      <c r="AP54" s="16"/>
      <c r="AQ54" s="16"/>
    </row>
    <row r="55" spans="15:43" ht="21" x14ac:dyDescent="0.5">
      <c r="O55" s="16"/>
      <c r="P55" s="16"/>
      <c r="Q55" s="17"/>
      <c r="R55" s="17"/>
      <c r="S55" s="17"/>
      <c r="T55" s="17"/>
      <c r="U55" s="17"/>
      <c r="V55" s="17"/>
      <c r="W55" s="17"/>
      <c r="X55" s="17"/>
      <c r="Y55" s="18"/>
      <c r="Z55" s="17"/>
      <c r="AA55" s="18"/>
      <c r="AB55" s="17"/>
      <c r="AC55" s="17"/>
      <c r="AD55" s="21"/>
      <c r="AE55" s="21"/>
      <c r="AF55" s="21"/>
      <c r="AG55" s="21"/>
      <c r="AH55" s="21"/>
      <c r="AI55" s="21"/>
      <c r="AJ55" s="21"/>
      <c r="AK55" s="16"/>
      <c r="AL55" s="16"/>
      <c r="AM55" s="16"/>
      <c r="AN55" s="16"/>
      <c r="AO55" s="16"/>
      <c r="AP55" s="16"/>
      <c r="AQ55" s="16"/>
    </row>
    <row r="56" spans="15:43" ht="21" x14ac:dyDescent="0.5">
      <c r="O56" s="16"/>
      <c r="P56" s="16"/>
      <c r="Q56" s="17"/>
      <c r="R56" s="17"/>
      <c r="S56" s="17"/>
      <c r="T56" s="17"/>
      <c r="U56" s="17"/>
      <c r="V56" s="17"/>
      <c r="W56" s="17"/>
      <c r="X56" s="17"/>
      <c r="Y56" s="18"/>
      <c r="Z56" s="17"/>
      <c r="AA56" s="18"/>
      <c r="AB56" s="17"/>
      <c r="AC56" s="17"/>
      <c r="AD56" s="21"/>
      <c r="AE56" s="21"/>
      <c r="AF56" s="21"/>
      <c r="AG56" s="21"/>
      <c r="AH56" s="21"/>
      <c r="AI56" s="21"/>
      <c r="AJ56" s="21"/>
      <c r="AK56" s="16"/>
      <c r="AL56" s="16"/>
      <c r="AM56" s="16"/>
      <c r="AN56" s="16"/>
      <c r="AO56" s="16"/>
      <c r="AP56" s="16"/>
      <c r="AQ56" s="16"/>
    </row>
    <row r="57" spans="15:43" ht="21" x14ac:dyDescent="0.5">
      <c r="O57" s="16"/>
      <c r="P57" s="16"/>
      <c r="Q57" s="17"/>
      <c r="R57" s="17"/>
      <c r="S57" s="17"/>
      <c r="T57" s="17"/>
      <c r="U57" s="17"/>
      <c r="V57" s="17"/>
      <c r="W57" s="17"/>
      <c r="X57" s="17"/>
      <c r="Y57" s="18"/>
      <c r="Z57" s="17"/>
      <c r="AA57" s="18"/>
      <c r="AB57" s="17"/>
      <c r="AC57" s="17"/>
      <c r="AD57" s="21"/>
      <c r="AE57" s="21"/>
      <c r="AF57" s="21"/>
      <c r="AG57" s="21"/>
      <c r="AH57" s="21"/>
      <c r="AI57" s="21"/>
      <c r="AJ57" s="21"/>
      <c r="AK57" s="16"/>
      <c r="AL57" s="16"/>
      <c r="AM57" s="16"/>
      <c r="AN57" s="16"/>
      <c r="AO57" s="16"/>
      <c r="AP57" s="16"/>
      <c r="AQ57" s="16"/>
    </row>
    <row r="58" spans="15:43" ht="21" x14ac:dyDescent="0.5">
      <c r="O58" s="16"/>
      <c r="P58" s="16"/>
      <c r="Q58" s="17"/>
      <c r="R58" s="17"/>
      <c r="S58" s="17"/>
      <c r="T58" s="17"/>
      <c r="U58" s="17"/>
      <c r="V58" s="17"/>
      <c r="W58" s="17"/>
      <c r="X58" s="17"/>
      <c r="Y58" s="18"/>
      <c r="Z58" s="17"/>
      <c r="AA58" s="18"/>
      <c r="AB58" s="17"/>
      <c r="AC58" s="17"/>
      <c r="AD58" s="21"/>
      <c r="AE58" s="21"/>
      <c r="AF58" s="21"/>
      <c r="AG58" s="21"/>
      <c r="AH58" s="21"/>
      <c r="AI58" s="21"/>
      <c r="AJ58" s="21"/>
      <c r="AK58" s="16"/>
      <c r="AL58" s="16"/>
      <c r="AM58" s="16"/>
      <c r="AN58" s="16"/>
      <c r="AO58" s="16"/>
      <c r="AP58" s="16"/>
      <c r="AQ58" s="16"/>
    </row>
    <row r="59" spans="15:43" ht="21" x14ac:dyDescent="0.5">
      <c r="O59" s="16"/>
      <c r="P59" s="16"/>
      <c r="Q59" s="17"/>
      <c r="R59" s="17"/>
      <c r="S59" s="17"/>
      <c r="T59" s="17"/>
      <c r="U59" s="17"/>
      <c r="V59" s="17"/>
      <c r="W59" s="17"/>
      <c r="X59" s="17"/>
      <c r="Y59" s="18"/>
      <c r="Z59" s="17"/>
      <c r="AA59" s="18"/>
      <c r="AB59" s="17"/>
      <c r="AC59" s="17"/>
      <c r="AD59" s="21"/>
      <c r="AE59" s="21"/>
      <c r="AF59" s="21"/>
      <c r="AG59" s="21"/>
      <c r="AH59" s="21"/>
      <c r="AI59" s="21"/>
      <c r="AJ59" s="21"/>
      <c r="AK59" s="16"/>
      <c r="AL59" s="16"/>
      <c r="AM59" s="16"/>
      <c r="AN59" s="16"/>
      <c r="AO59" s="16"/>
      <c r="AP59" s="16"/>
      <c r="AQ59" s="16"/>
    </row>
    <row r="60" spans="15:43" ht="21" x14ac:dyDescent="0.5">
      <c r="O60" s="16"/>
      <c r="P60" s="16"/>
      <c r="Q60" s="17"/>
      <c r="R60" s="17"/>
      <c r="S60" s="17"/>
      <c r="T60" s="17"/>
      <c r="U60" s="17"/>
      <c r="V60" s="17"/>
      <c r="W60" s="17"/>
      <c r="X60" s="17"/>
      <c r="Y60" s="18"/>
      <c r="Z60" s="17"/>
      <c r="AA60" s="18"/>
      <c r="AB60" s="17"/>
      <c r="AC60" s="17"/>
      <c r="AD60" s="21"/>
      <c r="AE60" s="21"/>
      <c r="AF60" s="21"/>
      <c r="AG60" s="21"/>
      <c r="AH60" s="21"/>
      <c r="AI60" s="21"/>
      <c r="AJ60" s="21"/>
      <c r="AK60" s="16"/>
      <c r="AL60" s="16"/>
      <c r="AM60" s="16"/>
      <c r="AN60" s="16"/>
      <c r="AO60" s="16"/>
      <c r="AP60" s="16"/>
      <c r="AQ60" s="16"/>
    </row>
    <row r="61" spans="15:43" ht="21" x14ac:dyDescent="0.5">
      <c r="O61" s="16"/>
      <c r="P61" s="16"/>
      <c r="Q61" s="17"/>
      <c r="R61" s="17"/>
      <c r="S61" s="17"/>
      <c r="T61" s="17"/>
      <c r="U61" s="17"/>
      <c r="V61" s="17"/>
      <c r="W61" s="17"/>
      <c r="X61" s="17"/>
      <c r="Y61" s="18"/>
      <c r="Z61" s="17"/>
      <c r="AA61" s="18"/>
      <c r="AB61" s="17"/>
      <c r="AC61" s="17"/>
      <c r="AD61" s="21"/>
      <c r="AE61" s="21"/>
      <c r="AF61" s="21"/>
      <c r="AG61" s="21"/>
      <c r="AH61" s="21"/>
      <c r="AI61" s="21"/>
      <c r="AJ61" s="21"/>
      <c r="AK61" s="16"/>
      <c r="AL61" s="16"/>
      <c r="AM61" s="16"/>
      <c r="AN61" s="16"/>
      <c r="AO61" s="16"/>
      <c r="AP61" s="16"/>
      <c r="AQ61" s="16"/>
    </row>
    <row r="62" spans="15:43" ht="21" x14ac:dyDescent="0.5">
      <c r="O62" s="16"/>
      <c r="P62" s="16"/>
      <c r="Q62" s="17"/>
      <c r="R62" s="17"/>
      <c r="S62" s="17"/>
      <c r="T62" s="17"/>
      <c r="U62" s="17"/>
      <c r="V62" s="17"/>
      <c r="W62" s="17"/>
      <c r="X62" s="17"/>
      <c r="Y62" s="18"/>
      <c r="Z62" s="17"/>
      <c r="AA62" s="18"/>
      <c r="AB62" s="17"/>
      <c r="AC62" s="17"/>
      <c r="AD62" s="16"/>
      <c r="AE62" s="16"/>
      <c r="AF62" s="16"/>
      <c r="AG62" s="16"/>
      <c r="AH62" s="16"/>
      <c r="AI62" s="16"/>
      <c r="AJ62" s="16"/>
      <c r="AK62" s="16"/>
      <c r="AL62" s="16"/>
      <c r="AM62" s="16"/>
      <c r="AN62" s="16"/>
      <c r="AO62" s="16"/>
      <c r="AP62" s="16"/>
      <c r="AQ62" s="16"/>
    </row>
    <row r="63" spans="15:43" ht="21" x14ac:dyDescent="0.5">
      <c r="O63" s="16"/>
      <c r="P63" s="16"/>
      <c r="Q63" s="17"/>
      <c r="R63" s="17"/>
      <c r="S63" s="17"/>
      <c r="T63" s="17"/>
      <c r="U63" s="17"/>
      <c r="V63" s="17"/>
      <c r="W63" s="17"/>
      <c r="X63" s="17"/>
      <c r="Y63" s="18"/>
      <c r="Z63" s="17"/>
      <c r="AA63" s="18"/>
      <c r="AB63" s="17"/>
      <c r="AC63" s="17"/>
      <c r="AD63" s="16"/>
      <c r="AE63" s="16"/>
      <c r="AF63" s="16"/>
      <c r="AG63" s="16"/>
      <c r="AH63" s="16"/>
      <c r="AI63" s="16"/>
      <c r="AJ63" s="16"/>
      <c r="AK63" s="16"/>
      <c r="AL63" s="16"/>
      <c r="AM63" s="16"/>
      <c r="AN63" s="16"/>
      <c r="AO63" s="16"/>
      <c r="AP63" s="16"/>
      <c r="AQ63" s="16"/>
    </row>
    <row r="64" spans="15:43" ht="21" x14ac:dyDescent="0.5">
      <c r="O64" s="16"/>
      <c r="P64" s="16"/>
      <c r="Q64" s="17"/>
      <c r="R64" s="17"/>
      <c r="S64" s="17"/>
      <c r="T64" s="17"/>
      <c r="U64" s="17"/>
      <c r="V64" s="17"/>
      <c r="W64" s="17"/>
      <c r="X64" s="17"/>
      <c r="Y64" s="18"/>
      <c r="Z64" s="17"/>
      <c r="AA64" s="18"/>
      <c r="AB64" s="17"/>
      <c r="AC64" s="17"/>
      <c r="AD64" s="16"/>
      <c r="AE64" s="16"/>
      <c r="AF64" s="16"/>
      <c r="AG64" s="16"/>
      <c r="AH64" s="16"/>
      <c r="AI64" s="16"/>
      <c r="AJ64" s="16"/>
      <c r="AK64" s="16"/>
      <c r="AL64" s="16"/>
      <c r="AM64" s="16"/>
      <c r="AN64" s="16"/>
      <c r="AO64" s="16"/>
      <c r="AP64" s="16"/>
      <c r="AQ64" s="16"/>
    </row>
    <row r="65" spans="15:43" ht="21" x14ac:dyDescent="0.5">
      <c r="O65" s="16"/>
      <c r="P65" s="16"/>
      <c r="Q65" s="17"/>
      <c r="R65" s="17"/>
      <c r="S65" s="17"/>
      <c r="T65" s="17"/>
      <c r="U65" s="17"/>
      <c r="V65" s="17"/>
      <c r="W65" s="17"/>
      <c r="X65" s="17"/>
      <c r="Y65" s="18"/>
      <c r="Z65" s="17"/>
      <c r="AA65" s="18"/>
      <c r="AB65" s="17"/>
      <c r="AC65" s="17"/>
      <c r="AD65" s="16"/>
      <c r="AE65" s="16"/>
      <c r="AF65" s="16"/>
      <c r="AG65" s="16"/>
      <c r="AH65" s="16"/>
      <c r="AI65" s="16"/>
      <c r="AJ65" s="16"/>
      <c r="AK65" s="16"/>
      <c r="AL65" s="16"/>
      <c r="AM65" s="16"/>
      <c r="AN65" s="16"/>
      <c r="AO65" s="16"/>
      <c r="AP65" s="16"/>
      <c r="AQ65" s="16"/>
    </row>
    <row r="66" spans="15:43" ht="21" x14ac:dyDescent="0.5">
      <c r="O66" s="16"/>
      <c r="P66" s="16"/>
      <c r="Q66" s="17"/>
      <c r="R66" s="17"/>
      <c r="S66" s="17"/>
      <c r="T66" s="17"/>
      <c r="U66" s="17"/>
      <c r="V66" s="17"/>
      <c r="W66" s="17"/>
      <c r="X66" s="17"/>
      <c r="Y66" s="18"/>
      <c r="Z66" s="17"/>
      <c r="AA66" s="18"/>
      <c r="AB66" s="17"/>
      <c r="AC66" s="17"/>
      <c r="AD66" s="16"/>
      <c r="AE66" s="16"/>
      <c r="AF66" s="16"/>
      <c r="AG66" s="16"/>
      <c r="AH66" s="16"/>
      <c r="AI66" s="16"/>
      <c r="AJ66" s="16"/>
      <c r="AK66" s="16"/>
      <c r="AL66" s="16"/>
      <c r="AM66" s="16"/>
      <c r="AN66" s="16"/>
      <c r="AO66" s="16"/>
      <c r="AP66" s="16"/>
      <c r="AQ66" s="16"/>
    </row>
    <row r="67" spans="15:43" ht="21" x14ac:dyDescent="0.5">
      <c r="O67" s="16"/>
      <c r="P67" s="16"/>
      <c r="Q67" s="17"/>
      <c r="R67" s="17"/>
      <c r="S67" s="17"/>
      <c r="T67" s="17"/>
      <c r="U67" s="17"/>
      <c r="V67" s="17"/>
      <c r="W67" s="17"/>
      <c r="X67" s="17"/>
      <c r="Y67" s="18"/>
      <c r="Z67" s="17"/>
      <c r="AA67" s="18"/>
      <c r="AB67" s="17"/>
      <c r="AC67" s="17"/>
      <c r="AD67" s="16"/>
      <c r="AE67" s="16"/>
      <c r="AF67" s="16"/>
      <c r="AG67" s="16"/>
      <c r="AH67" s="16"/>
      <c r="AI67" s="16"/>
      <c r="AJ67" s="16"/>
      <c r="AK67" s="16"/>
      <c r="AL67" s="16"/>
      <c r="AM67" s="16"/>
      <c r="AN67" s="16"/>
      <c r="AO67" s="16"/>
      <c r="AP67" s="16"/>
      <c r="AQ67" s="16"/>
    </row>
    <row r="68" spans="15:43" ht="21" x14ac:dyDescent="0.5">
      <c r="O68" s="16"/>
      <c r="P68" s="16"/>
      <c r="Q68" s="17"/>
      <c r="R68" s="17"/>
      <c r="S68" s="17"/>
      <c r="T68" s="17"/>
      <c r="U68" s="17"/>
      <c r="V68" s="17"/>
      <c r="W68" s="17"/>
      <c r="X68" s="17"/>
      <c r="Y68" s="18"/>
      <c r="Z68" s="17"/>
      <c r="AA68" s="18"/>
      <c r="AB68" s="17"/>
      <c r="AC68" s="17"/>
      <c r="AD68" s="16"/>
      <c r="AE68" s="16"/>
      <c r="AF68" s="16"/>
      <c r="AG68" s="16"/>
      <c r="AH68" s="16"/>
      <c r="AI68" s="16"/>
      <c r="AJ68" s="16"/>
      <c r="AK68" s="16"/>
      <c r="AL68" s="16"/>
      <c r="AM68" s="16"/>
      <c r="AN68" s="16"/>
      <c r="AO68" s="16"/>
      <c r="AP68" s="16"/>
      <c r="AQ68" s="16"/>
    </row>
    <row r="69" spans="15:43" ht="21" x14ac:dyDescent="0.5">
      <c r="O69" s="16"/>
      <c r="P69" s="16"/>
      <c r="Q69" s="17"/>
      <c r="R69" s="17"/>
      <c r="S69" s="17"/>
      <c r="T69" s="17"/>
      <c r="U69" s="17"/>
      <c r="V69" s="17"/>
      <c r="W69" s="17"/>
      <c r="X69" s="17"/>
      <c r="Y69" s="18"/>
      <c r="Z69" s="17"/>
      <c r="AA69" s="18"/>
      <c r="AB69" s="17"/>
      <c r="AC69" s="17"/>
      <c r="AD69" s="16"/>
      <c r="AE69" s="16"/>
      <c r="AF69" s="16"/>
      <c r="AG69" s="16"/>
      <c r="AH69" s="16"/>
      <c r="AI69" s="16"/>
      <c r="AJ69" s="16"/>
      <c r="AK69" s="16"/>
      <c r="AL69" s="16"/>
      <c r="AM69" s="16"/>
      <c r="AN69" s="16"/>
      <c r="AO69" s="16"/>
      <c r="AP69" s="16"/>
      <c r="AQ69" s="16"/>
    </row>
    <row r="70" spans="15:43" ht="21" x14ac:dyDescent="0.5">
      <c r="O70" s="16"/>
      <c r="P70" s="16"/>
      <c r="Q70" s="17"/>
      <c r="R70" s="17"/>
      <c r="S70" s="17"/>
      <c r="T70" s="17"/>
      <c r="U70" s="17"/>
      <c r="V70" s="17"/>
      <c r="W70" s="17"/>
      <c r="X70" s="17"/>
      <c r="Y70" s="18"/>
      <c r="Z70" s="17"/>
      <c r="AA70" s="18"/>
      <c r="AB70" s="17"/>
      <c r="AC70" s="17"/>
      <c r="AD70" s="16"/>
      <c r="AE70" s="16"/>
      <c r="AF70" s="16"/>
      <c r="AG70" s="16"/>
      <c r="AH70" s="16"/>
      <c r="AI70" s="16"/>
      <c r="AJ70" s="16"/>
      <c r="AK70" s="16"/>
      <c r="AL70" s="16"/>
      <c r="AM70" s="16"/>
      <c r="AN70" s="16"/>
      <c r="AO70" s="16"/>
      <c r="AP70" s="16"/>
      <c r="AQ70" s="16"/>
    </row>
    <row r="71" spans="15:43" ht="21" x14ac:dyDescent="0.5">
      <c r="O71" s="16"/>
      <c r="P71" s="16"/>
      <c r="Q71" s="17"/>
      <c r="R71" s="17"/>
      <c r="S71" s="17"/>
      <c r="T71" s="17"/>
      <c r="U71" s="17"/>
      <c r="V71" s="17"/>
      <c r="W71" s="17"/>
      <c r="X71" s="17"/>
      <c r="Y71" s="18"/>
      <c r="Z71" s="17"/>
      <c r="AA71" s="18"/>
      <c r="AB71" s="17"/>
      <c r="AC71" s="17"/>
      <c r="AD71" s="16"/>
      <c r="AE71" s="16"/>
      <c r="AF71" s="16"/>
      <c r="AG71" s="16"/>
      <c r="AH71" s="16"/>
      <c r="AI71" s="16"/>
      <c r="AJ71" s="16"/>
      <c r="AK71" s="16"/>
      <c r="AL71" s="16"/>
      <c r="AM71" s="16"/>
      <c r="AN71" s="16"/>
      <c r="AO71" s="16"/>
      <c r="AP71" s="16"/>
      <c r="AQ71" s="16"/>
    </row>
    <row r="72" spans="15:43" ht="21" x14ac:dyDescent="0.5">
      <c r="O72" s="16"/>
      <c r="P72" s="16"/>
      <c r="Q72" s="17"/>
      <c r="R72" s="17"/>
      <c r="S72" s="17"/>
      <c r="T72" s="17"/>
      <c r="U72" s="17"/>
      <c r="V72" s="17"/>
      <c r="W72" s="17"/>
      <c r="X72" s="17"/>
      <c r="Y72" s="18"/>
      <c r="Z72" s="17"/>
      <c r="AA72" s="18"/>
      <c r="AB72" s="17"/>
      <c r="AC72" s="17"/>
      <c r="AD72" s="16"/>
      <c r="AE72" s="16"/>
      <c r="AF72" s="16"/>
      <c r="AG72" s="16"/>
      <c r="AH72" s="16"/>
      <c r="AI72" s="16"/>
      <c r="AJ72" s="16"/>
      <c r="AK72" s="16"/>
      <c r="AL72" s="16"/>
      <c r="AM72" s="16"/>
      <c r="AN72" s="16"/>
      <c r="AO72" s="16"/>
      <c r="AP72" s="16"/>
      <c r="AQ72" s="16"/>
    </row>
    <row r="73" spans="15:43" ht="21" x14ac:dyDescent="0.5">
      <c r="O73" s="16"/>
      <c r="P73" s="16"/>
      <c r="Q73" s="17"/>
      <c r="R73" s="17"/>
      <c r="S73" s="17"/>
      <c r="T73" s="17"/>
      <c r="U73" s="17"/>
      <c r="V73" s="17"/>
      <c r="W73" s="17"/>
      <c r="X73" s="17"/>
      <c r="Y73" s="18"/>
      <c r="Z73" s="17"/>
      <c r="AA73" s="18"/>
      <c r="AB73" s="17"/>
      <c r="AC73" s="17"/>
      <c r="AD73" s="16"/>
      <c r="AE73" s="16"/>
      <c r="AF73" s="16"/>
      <c r="AG73" s="16"/>
      <c r="AH73" s="16"/>
      <c r="AI73" s="16"/>
      <c r="AJ73" s="16"/>
      <c r="AK73" s="16"/>
      <c r="AL73" s="16"/>
      <c r="AM73" s="16"/>
      <c r="AN73" s="16"/>
      <c r="AO73" s="16"/>
      <c r="AP73" s="16"/>
      <c r="AQ73" s="16"/>
    </row>
    <row r="74" spans="15:43" ht="21" x14ac:dyDescent="0.5">
      <c r="O74" s="16"/>
      <c r="P74" s="16"/>
      <c r="Q74" s="17"/>
      <c r="R74" s="17"/>
      <c r="S74" s="17"/>
      <c r="T74" s="17"/>
      <c r="U74" s="17"/>
      <c r="V74" s="17"/>
      <c r="W74" s="17"/>
      <c r="X74" s="17"/>
      <c r="Y74" s="18"/>
      <c r="Z74" s="17"/>
      <c r="AA74" s="18"/>
      <c r="AB74" s="17"/>
      <c r="AC74" s="17"/>
      <c r="AD74" s="16"/>
      <c r="AE74" s="16"/>
      <c r="AF74" s="16"/>
      <c r="AG74" s="16"/>
      <c r="AH74" s="16"/>
      <c r="AI74" s="16"/>
      <c r="AJ74" s="16"/>
      <c r="AK74" s="16"/>
      <c r="AL74" s="16"/>
      <c r="AM74" s="16"/>
      <c r="AN74" s="16"/>
      <c r="AO74" s="16"/>
      <c r="AP74" s="16"/>
      <c r="AQ74" s="16"/>
    </row>
    <row r="75" spans="15:43" ht="21" x14ac:dyDescent="0.5">
      <c r="O75" s="16"/>
      <c r="P75" s="16"/>
      <c r="Q75" s="17"/>
      <c r="R75" s="17"/>
      <c r="S75" s="17"/>
      <c r="T75" s="17"/>
      <c r="U75" s="17"/>
      <c r="V75" s="17"/>
      <c r="W75" s="17"/>
      <c r="X75" s="17"/>
      <c r="Y75" s="18"/>
      <c r="Z75" s="17"/>
      <c r="AA75" s="18"/>
      <c r="AB75" s="17"/>
      <c r="AC75" s="17"/>
      <c r="AD75" s="16"/>
      <c r="AE75" s="16"/>
      <c r="AF75" s="16"/>
      <c r="AG75" s="16"/>
      <c r="AH75" s="16"/>
      <c r="AI75" s="16"/>
      <c r="AJ75" s="16"/>
      <c r="AK75" s="16"/>
      <c r="AL75" s="16"/>
      <c r="AM75" s="16"/>
      <c r="AN75" s="16"/>
      <c r="AO75" s="16"/>
      <c r="AP75" s="16"/>
      <c r="AQ75" s="16"/>
    </row>
    <row r="76" spans="15:43" ht="21" x14ac:dyDescent="0.5">
      <c r="O76" s="16"/>
      <c r="P76" s="16"/>
      <c r="Q76" s="17"/>
      <c r="R76" s="17"/>
      <c r="S76" s="17"/>
      <c r="T76" s="17"/>
      <c r="U76" s="17"/>
      <c r="V76" s="17"/>
      <c r="W76" s="17"/>
      <c r="X76" s="17"/>
      <c r="Y76" s="18"/>
      <c r="Z76" s="17"/>
      <c r="AA76" s="18"/>
      <c r="AB76" s="17"/>
      <c r="AC76" s="17"/>
      <c r="AD76" s="16"/>
      <c r="AE76" s="16"/>
      <c r="AF76" s="16"/>
      <c r="AG76" s="16"/>
      <c r="AH76" s="16"/>
      <c r="AI76" s="16"/>
      <c r="AJ76" s="16"/>
      <c r="AK76" s="16"/>
      <c r="AL76" s="16"/>
      <c r="AM76" s="16"/>
      <c r="AN76" s="16"/>
      <c r="AO76" s="16"/>
      <c r="AP76" s="16"/>
      <c r="AQ76" s="16"/>
    </row>
    <row r="77" spans="15:43" ht="21" x14ac:dyDescent="0.5">
      <c r="O77" s="16"/>
      <c r="P77" s="16"/>
      <c r="Q77" s="17"/>
      <c r="R77" s="17"/>
      <c r="S77" s="17"/>
      <c r="T77" s="17"/>
      <c r="U77" s="17"/>
      <c r="V77" s="17"/>
      <c r="W77" s="17"/>
      <c r="X77" s="17"/>
      <c r="Y77" s="18"/>
      <c r="Z77" s="17"/>
      <c r="AA77" s="18"/>
      <c r="AB77" s="17"/>
      <c r="AC77" s="17"/>
      <c r="AD77" s="16"/>
      <c r="AE77" s="16"/>
      <c r="AF77" s="16"/>
      <c r="AG77" s="16"/>
      <c r="AH77" s="16"/>
      <c r="AI77" s="16"/>
      <c r="AJ77" s="16"/>
      <c r="AK77" s="16"/>
      <c r="AL77" s="16"/>
      <c r="AM77" s="16"/>
      <c r="AN77" s="16"/>
      <c r="AO77" s="16"/>
      <c r="AP77" s="16"/>
      <c r="AQ77" s="16"/>
    </row>
    <row r="78" spans="15:43" ht="21" x14ac:dyDescent="0.5">
      <c r="O78" s="16"/>
      <c r="P78" s="16"/>
      <c r="Q78" s="17"/>
      <c r="R78" s="17"/>
      <c r="S78" s="17"/>
      <c r="T78" s="17"/>
      <c r="U78" s="17"/>
      <c r="V78" s="17"/>
      <c r="W78" s="17"/>
      <c r="X78" s="17"/>
      <c r="Y78" s="18"/>
      <c r="Z78" s="17"/>
      <c r="AA78" s="18"/>
      <c r="AB78" s="17"/>
      <c r="AC78" s="17"/>
      <c r="AD78" s="16"/>
      <c r="AE78" s="16"/>
      <c r="AF78" s="16"/>
      <c r="AG78" s="16"/>
      <c r="AH78" s="16"/>
      <c r="AI78" s="16"/>
      <c r="AJ78" s="16"/>
      <c r="AK78" s="16"/>
      <c r="AL78" s="16"/>
      <c r="AM78" s="16"/>
      <c r="AN78" s="16"/>
      <c r="AO78" s="16"/>
      <c r="AP78" s="16"/>
      <c r="AQ78" s="16"/>
    </row>
    <row r="79" spans="15:43" ht="21" x14ac:dyDescent="0.5">
      <c r="O79" s="16"/>
      <c r="P79" s="16"/>
      <c r="Q79" s="17"/>
      <c r="R79" s="17"/>
      <c r="S79" s="17"/>
      <c r="T79" s="17"/>
      <c r="U79" s="17"/>
      <c r="V79" s="17"/>
      <c r="W79" s="17"/>
      <c r="X79" s="17"/>
      <c r="Y79" s="18"/>
      <c r="Z79" s="17"/>
      <c r="AA79" s="18"/>
      <c r="AB79" s="17"/>
      <c r="AC79" s="17"/>
      <c r="AD79" s="16"/>
      <c r="AE79" s="16"/>
      <c r="AF79" s="16"/>
      <c r="AG79" s="16"/>
      <c r="AH79" s="16"/>
      <c r="AI79" s="16"/>
      <c r="AJ79" s="16"/>
      <c r="AK79" s="16"/>
      <c r="AL79" s="16"/>
      <c r="AM79" s="16"/>
      <c r="AN79" s="16"/>
      <c r="AO79" s="16"/>
      <c r="AP79" s="16"/>
      <c r="AQ79" s="16"/>
    </row>
    <row r="80" spans="15:43" ht="21" x14ac:dyDescent="0.5">
      <c r="O80" s="16"/>
      <c r="P80" s="16"/>
      <c r="Q80" s="17"/>
      <c r="R80" s="17"/>
      <c r="S80" s="17"/>
      <c r="T80" s="17"/>
      <c r="U80" s="17"/>
      <c r="V80" s="17"/>
      <c r="W80" s="17"/>
      <c r="X80" s="17"/>
      <c r="Y80" s="18"/>
      <c r="Z80" s="17"/>
      <c r="AA80" s="18"/>
      <c r="AB80" s="17"/>
      <c r="AC80" s="17"/>
      <c r="AD80" s="16"/>
      <c r="AE80" s="16"/>
      <c r="AF80" s="16"/>
      <c r="AG80" s="16"/>
      <c r="AH80" s="16"/>
      <c r="AI80" s="16"/>
      <c r="AJ80" s="16"/>
      <c r="AK80" s="16"/>
      <c r="AL80" s="16"/>
      <c r="AM80" s="16"/>
      <c r="AN80" s="16"/>
      <c r="AO80" s="16"/>
      <c r="AP80" s="16"/>
      <c r="AQ80" s="16"/>
    </row>
    <row r="81" spans="13:44" ht="21" x14ac:dyDescent="0.5">
      <c r="O81" s="16"/>
      <c r="P81" s="16"/>
      <c r="Q81" s="17"/>
      <c r="R81" s="17"/>
      <c r="S81" s="17"/>
      <c r="T81" s="17"/>
      <c r="U81" s="17"/>
      <c r="V81" s="17"/>
      <c r="W81" s="17"/>
      <c r="X81" s="17"/>
      <c r="Y81" s="18"/>
      <c r="Z81" s="17"/>
      <c r="AA81" s="18"/>
      <c r="AB81" s="17"/>
      <c r="AC81" s="17"/>
      <c r="AD81" s="16"/>
      <c r="AE81" s="16"/>
      <c r="AF81" s="16"/>
      <c r="AG81" s="16"/>
      <c r="AH81" s="16"/>
      <c r="AI81" s="16"/>
      <c r="AJ81" s="16"/>
      <c r="AK81" s="16"/>
      <c r="AL81" s="16"/>
      <c r="AM81" s="16"/>
      <c r="AN81" s="16"/>
      <c r="AO81" s="16"/>
      <c r="AP81" s="16"/>
      <c r="AQ81" s="16"/>
    </row>
    <row r="82" spans="13:44" ht="21" x14ac:dyDescent="0.5">
      <c r="O82" s="16"/>
      <c r="P82" s="16"/>
      <c r="Q82" s="17"/>
      <c r="R82" s="17"/>
      <c r="S82" s="17"/>
      <c r="T82" s="17"/>
      <c r="U82" s="17"/>
      <c r="V82" s="17"/>
      <c r="W82" s="17"/>
      <c r="X82" s="17"/>
      <c r="Y82" s="18"/>
      <c r="Z82" s="17"/>
      <c r="AA82" s="18"/>
      <c r="AB82" s="17"/>
      <c r="AC82" s="17"/>
      <c r="AD82" s="16"/>
      <c r="AE82" s="16"/>
      <c r="AF82" s="16"/>
      <c r="AG82" s="16"/>
      <c r="AH82" s="16"/>
      <c r="AI82" s="16"/>
      <c r="AJ82" s="16"/>
      <c r="AK82" s="16"/>
      <c r="AL82" s="16"/>
      <c r="AM82" s="16"/>
      <c r="AN82" s="16"/>
      <c r="AO82" s="16"/>
      <c r="AP82" s="16"/>
      <c r="AQ82" s="16"/>
    </row>
    <row r="83" spans="13:44" ht="21" x14ac:dyDescent="0.5">
      <c r="O83" s="16"/>
      <c r="P83" s="16"/>
      <c r="Q83" s="17"/>
      <c r="R83" s="17"/>
      <c r="S83" s="17"/>
      <c r="T83" s="17"/>
      <c r="U83" s="17"/>
      <c r="V83" s="17"/>
      <c r="W83" s="17"/>
      <c r="X83" s="17"/>
      <c r="Y83" s="18"/>
      <c r="Z83" s="17"/>
      <c r="AA83" s="18"/>
      <c r="AB83" s="17"/>
      <c r="AC83" s="17"/>
      <c r="AD83" s="16"/>
      <c r="AE83" s="16"/>
      <c r="AF83" s="16"/>
      <c r="AG83" s="16"/>
      <c r="AH83" s="16"/>
      <c r="AI83" s="16"/>
      <c r="AJ83" s="16"/>
      <c r="AK83" s="16"/>
      <c r="AL83" s="16"/>
      <c r="AM83" s="16"/>
      <c r="AN83" s="16"/>
      <c r="AO83" s="16"/>
      <c r="AP83" s="16"/>
      <c r="AQ83" s="16"/>
    </row>
    <row r="84" spans="13:44" ht="21" x14ac:dyDescent="0.5">
      <c r="O84" s="16"/>
      <c r="P84" s="16"/>
      <c r="Q84" s="17"/>
      <c r="R84" s="17"/>
      <c r="S84" s="17"/>
      <c r="T84" s="17"/>
      <c r="U84" s="17"/>
      <c r="V84" s="17"/>
      <c r="W84" s="17"/>
      <c r="X84" s="17"/>
      <c r="Y84" s="18"/>
      <c r="Z84" s="17"/>
      <c r="AA84" s="18"/>
      <c r="AB84" s="17"/>
      <c r="AC84" s="17"/>
      <c r="AD84" s="16"/>
      <c r="AE84" s="16"/>
      <c r="AF84" s="16"/>
      <c r="AG84" s="16"/>
      <c r="AH84" s="16"/>
      <c r="AI84" s="16"/>
      <c r="AJ84" s="16"/>
      <c r="AK84" s="16"/>
      <c r="AL84" s="16"/>
      <c r="AM84" s="16"/>
      <c r="AN84" s="16"/>
      <c r="AO84" s="16"/>
      <c r="AP84" s="16"/>
      <c r="AQ84" s="16"/>
    </row>
    <row r="85" spans="13:44" ht="21" x14ac:dyDescent="0.5">
      <c r="O85" s="16"/>
      <c r="P85" s="16"/>
      <c r="Q85" s="17"/>
      <c r="R85" s="17"/>
      <c r="S85" s="17"/>
      <c r="T85" s="17"/>
      <c r="U85" s="17"/>
      <c r="V85" s="17"/>
      <c r="W85" s="17"/>
      <c r="X85" s="17"/>
      <c r="Y85" s="18"/>
      <c r="Z85" s="17"/>
      <c r="AA85" s="18"/>
      <c r="AB85" s="17"/>
      <c r="AC85" s="17"/>
      <c r="AD85" s="16"/>
      <c r="AE85" s="16"/>
      <c r="AF85" s="16"/>
      <c r="AG85" s="16"/>
      <c r="AH85" s="16"/>
      <c r="AI85" s="16"/>
      <c r="AJ85" s="16"/>
      <c r="AK85" s="16"/>
      <c r="AL85" s="16"/>
      <c r="AM85" s="16"/>
      <c r="AN85" s="16"/>
      <c r="AO85" s="16"/>
      <c r="AP85" s="16"/>
      <c r="AQ85" s="16"/>
    </row>
    <row r="86" spans="13:44" ht="27.5" x14ac:dyDescent="0.5">
      <c r="M86" s="261" t="s">
        <v>109</v>
      </c>
      <c r="P86" s="16"/>
      <c r="Q86" s="16"/>
      <c r="R86" s="17"/>
      <c r="S86" s="17"/>
      <c r="T86" s="17"/>
      <c r="U86" s="17"/>
      <c r="V86" s="17"/>
      <c r="W86" s="17"/>
      <c r="X86" s="17"/>
      <c r="Y86" s="17"/>
      <c r="Z86" s="18"/>
      <c r="AA86" s="17"/>
      <c r="AB86" s="18"/>
      <c r="AC86" s="17"/>
      <c r="AD86" s="17"/>
      <c r="AE86" s="16"/>
      <c r="AF86" s="16"/>
      <c r="AG86" s="16"/>
      <c r="AH86" s="16"/>
      <c r="AI86" s="16"/>
      <c r="AJ86" s="16"/>
      <c r="AK86" s="16"/>
      <c r="AL86" s="16"/>
      <c r="AM86" s="16"/>
      <c r="AN86" s="16"/>
      <c r="AO86" s="16"/>
      <c r="AP86" s="16"/>
      <c r="AQ86" s="16"/>
      <c r="AR86" s="16"/>
    </row>
    <row r="87" spans="13:44" ht="24.5" x14ac:dyDescent="0.55000000000000004">
      <c r="M87" s="262"/>
      <c r="P87" s="16"/>
      <c r="Q87" s="16"/>
      <c r="R87" s="17"/>
      <c r="S87" s="17"/>
      <c r="T87" s="17"/>
      <c r="U87" s="17"/>
      <c r="V87" s="17"/>
      <c r="W87" s="17"/>
      <c r="X87" s="17"/>
      <c r="Y87" s="17"/>
      <c r="Z87" s="18"/>
      <c r="AA87" s="17"/>
      <c r="AB87" s="18"/>
      <c r="AC87" s="17"/>
      <c r="AD87" s="17"/>
      <c r="AE87" s="16"/>
      <c r="AF87" s="16"/>
      <c r="AG87" s="16"/>
      <c r="AH87" s="16"/>
      <c r="AI87" s="16"/>
      <c r="AJ87" s="16"/>
      <c r="AK87" s="16"/>
      <c r="AL87" s="16"/>
      <c r="AM87" s="16"/>
      <c r="AN87" s="16"/>
      <c r="AO87" s="16"/>
      <c r="AP87" s="16"/>
      <c r="AQ87" s="16"/>
      <c r="AR87" s="16"/>
    </row>
    <row r="88" spans="13:44" ht="24.5" x14ac:dyDescent="0.55000000000000004">
      <c r="M88" s="202"/>
      <c r="P88" s="16"/>
      <c r="Q88" s="16"/>
      <c r="R88" s="17"/>
      <c r="S88" s="17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6"/>
      <c r="AF88" s="16"/>
      <c r="AG88" s="16"/>
      <c r="AH88" s="16"/>
      <c r="AI88" s="16"/>
      <c r="AJ88" s="16"/>
      <c r="AK88" s="16"/>
      <c r="AL88" s="16"/>
      <c r="AM88" s="16"/>
      <c r="AN88" s="16"/>
      <c r="AO88" s="16"/>
      <c r="AP88" s="16"/>
      <c r="AQ88" s="16"/>
      <c r="AR88" s="16"/>
    </row>
    <row r="89" spans="13:44" ht="24.5" x14ac:dyDescent="0.55000000000000004">
      <c r="M89" s="202"/>
      <c r="P89" s="16"/>
      <c r="Q89" s="16"/>
      <c r="R89" s="21"/>
      <c r="S89" s="21"/>
      <c r="T89" s="21"/>
      <c r="U89" s="21"/>
      <c r="V89" s="21"/>
      <c r="W89" s="21"/>
      <c r="X89" s="21"/>
      <c r="Y89" s="21"/>
      <c r="Z89" s="21"/>
      <c r="AA89" s="263"/>
      <c r="AB89" s="21"/>
      <c r="AC89" s="21"/>
      <c r="AD89" s="21"/>
      <c r="AE89" s="16"/>
      <c r="AF89" s="16"/>
      <c r="AG89" s="16"/>
      <c r="AH89" s="16"/>
      <c r="AI89" s="16"/>
      <c r="AJ89" s="16"/>
      <c r="AK89" s="16"/>
      <c r="AL89" s="16"/>
      <c r="AM89" s="16"/>
      <c r="AN89" s="16"/>
      <c r="AO89" s="16"/>
      <c r="AP89" s="16"/>
      <c r="AQ89" s="16"/>
      <c r="AR89" s="16"/>
    </row>
    <row r="90" spans="13:44" ht="24.5" x14ac:dyDescent="0.55000000000000004">
      <c r="M90" s="202"/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20"/>
      <c r="AD90" s="20"/>
    </row>
    <row r="91" spans="13:44" ht="24.5" x14ac:dyDescent="0.55000000000000004">
      <c r="M91" s="202"/>
    </row>
    <row r="92" spans="13:44" ht="24.5" x14ac:dyDescent="0.55000000000000004">
      <c r="M92" s="202"/>
    </row>
    <row r="102" spans="7:14" x14ac:dyDescent="0.35">
      <c r="H102" s="49" t="s">
        <v>188</v>
      </c>
      <c r="J102" s="49" t="s">
        <v>180</v>
      </c>
      <c r="K102" s="49">
        <f>5*500</f>
        <v>2500</v>
      </c>
      <c r="L102" s="49" t="s">
        <v>355</v>
      </c>
      <c r="M102" s="49" t="s">
        <v>362</v>
      </c>
    </row>
    <row r="103" spans="7:14" x14ac:dyDescent="0.35">
      <c r="G103" s="49" t="s">
        <v>356</v>
      </c>
      <c r="H103" s="49">
        <f>1.15*19000</f>
        <v>21850</v>
      </c>
      <c r="I103" s="49" t="s">
        <v>354</v>
      </c>
      <c r="J103" s="49">
        <v>35000</v>
      </c>
      <c r="K103" s="49">
        <f>3*7</f>
        <v>21</v>
      </c>
      <c r="L103" s="49" t="s">
        <v>360</v>
      </c>
      <c r="M103" s="49">
        <f>280*380</f>
        <v>106400</v>
      </c>
      <c r="N103" s="49" t="s">
        <v>363</v>
      </c>
    </row>
    <row r="104" spans="7:14" x14ac:dyDescent="0.35">
      <c r="G104" s="49" t="s">
        <v>357</v>
      </c>
      <c r="H104" s="49">
        <f>K102*1.15*1</f>
        <v>2875</v>
      </c>
      <c r="I104" s="49" t="s">
        <v>354</v>
      </c>
      <c r="J104" s="49">
        <f>H104</f>
        <v>2875</v>
      </c>
      <c r="M104" s="49">
        <f>M103*30</f>
        <v>3192000</v>
      </c>
      <c r="N104" s="49" t="s">
        <v>353</v>
      </c>
    </row>
    <row r="105" spans="7:14" x14ac:dyDescent="0.35">
      <c r="G105" s="49" t="s">
        <v>358</v>
      </c>
      <c r="H105" s="49">
        <f>1.5*1*K102</f>
        <v>3750</v>
      </c>
      <c r="I105" s="49" t="s">
        <v>354</v>
      </c>
      <c r="J105" s="49">
        <f t="shared" ref="J105:J106" si="2">H105</f>
        <v>3750</v>
      </c>
      <c r="M105" s="49">
        <f>M104/1.5</f>
        <v>2128000</v>
      </c>
      <c r="N105" s="49" t="s">
        <v>364</v>
      </c>
    </row>
    <row r="106" spans="7:14" x14ac:dyDescent="0.35">
      <c r="G106" s="49" t="s">
        <v>359</v>
      </c>
      <c r="H106" s="49">
        <f>1.5*1.9*600</f>
        <v>1709.9999999999998</v>
      </c>
      <c r="I106" s="49" t="s">
        <v>354</v>
      </c>
      <c r="J106" s="49">
        <f t="shared" si="2"/>
        <v>1709.9999999999998</v>
      </c>
      <c r="M106" s="49">
        <f>M105/1000</f>
        <v>2128</v>
      </c>
      <c r="N106" s="49" t="s">
        <v>354</v>
      </c>
    </row>
    <row r="107" spans="7:14" ht="21" x14ac:dyDescent="0.5">
      <c r="H107" s="264">
        <f>SUM(H103:H106)</f>
        <v>30185</v>
      </c>
      <c r="I107" s="49" t="s">
        <v>354</v>
      </c>
      <c r="J107" s="49">
        <f>SUM(J103:J106)</f>
        <v>43335</v>
      </c>
    </row>
    <row r="109" spans="7:14" ht="15.5" x14ac:dyDescent="0.35">
      <c r="H109" s="265">
        <f>H107/K103</f>
        <v>1437.3809523809523</v>
      </c>
      <c r="I109" s="49" t="s">
        <v>361</v>
      </c>
      <c r="J109" s="71">
        <f>J107/K103</f>
        <v>2063.5714285714284</v>
      </c>
    </row>
  </sheetData>
  <sheetProtection algorithmName="SHA-512" hashValue="MTrRnzaDsgeSMCjScWjFa9toYNsE6AKFSBvLkHzyYIYEZQYrJ+O573BMht/25rL9QeLiSFzaK82LDkLJ3F/3RA==" saltValue="uy3/XVB20iZLnAT4N4MELA==" spinCount="100000" sheet="1" objects="1" scenarios="1"/>
  <pageMargins left="0.7" right="0.7" top="0.75" bottom="0.75" header="0.3" footer="0.3"/>
  <pageSetup paperSize="9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6ABC22-7543-47CD-B8E2-9D67A60037E8}">
  <sheetPr codeName="Taul3"/>
  <dimension ref="A1:N94"/>
  <sheetViews>
    <sheetView topLeftCell="A118" zoomScale="30" zoomScaleNormal="30" workbookViewId="0">
      <selection sqref="A1:XFD1048576"/>
    </sheetView>
  </sheetViews>
  <sheetFormatPr defaultRowHeight="14.5" x14ac:dyDescent="0.35"/>
  <cols>
    <col min="1" max="1" width="16.6328125" style="49" customWidth="1"/>
    <col min="2" max="2" width="17.453125" style="49" customWidth="1"/>
    <col min="3" max="3" width="17.54296875" style="49" customWidth="1"/>
    <col min="4" max="4" width="17.1796875" style="49" customWidth="1"/>
    <col min="5" max="5" width="17.36328125" style="49" customWidth="1"/>
    <col min="6" max="6" width="17.6328125" style="49" customWidth="1"/>
    <col min="7" max="7" width="17.90625" style="49" customWidth="1"/>
    <col min="8" max="8" width="17.1796875" style="49" customWidth="1"/>
    <col min="9" max="9" width="17.453125" style="49" customWidth="1"/>
    <col min="10" max="10" width="17.54296875" style="49" customWidth="1"/>
    <col min="11" max="12" width="18.453125" style="49" customWidth="1"/>
    <col min="13" max="16384" width="8.7265625" style="49"/>
  </cols>
  <sheetData>
    <row r="1" spans="1:13" ht="24.5" x14ac:dyDescent="0.55000000000000004">
      <c r="A1" s="257" t="s">
        <v>343</v>
      </c>
      <c r="B1" s="202"/>
      <c r="C1" s="202"/>
      <c r="D1" s="202"/>
      <c r="E1" s="202"/>
      <c r="F1" s="202"/>
      <c r="G1" s="202"/>
      <c r="H1" s="202"/>
      <c r="I1" s="202"/>
      <c r="J1" s="202"/>
    </row>
    <row r="2" spans="1:13" ht="24.5" x14ac:dyDescent="0.55000000000000004">
      <c r="A2" s="202"/>
      <c r="B2" s="202"/>
      <c r="C2" s="202"/>
      <c r="D2" s="202"/>
      <c r="E2" s="202"/>
      <c r="F2" s="202"/>
      <c r="G2" s="202"/>
      <c r="H2" s="202"/>
      <c r="I2" s="202"/>
      <c r="J2" s="202"/>
    </row>
    <row r="3" spans="1:13" ht="27.5" x14ac:dyDescent="0.55000000000000004">
      <c r="A3" s="267" t="s">
        <v>344</v>
      </c>
      <c r="B3" s="267"/>
      <c r="C3" s="267"/>
      <c r="D3" s="267"/>
      <c r="E3" s="267"/>
      <c r="F3" s="267"/>
      <c r="G3" s="267"/>
      <c r="H3" s="267"/>
      <c r="I3" s="267"/>
      <c r="J3" s="267"/>
      <c r="K3" s="202"/>
      <c r="L3" s="202"/>
      <c r="M3" s="202"/>
    </row>
    <row r="4" spans="1:13" ht="137.5" x14ac:dyDescent="0.55000000000000004">
      <c r="A4" s="203" t="s">
        <v>36</v>
      </c>
      <c r="B4" s="203" t="s">
        <v>37</v>
      </c>
      <c r="C4" s="203" t="s">
        <v>38</v>
      </c>
      <c r="D4" s="203" t="s">
        <v>39</v>
      </c>
      <c r="E4" s="203" t="s">
        <v>40</v>
      </c>
      <c r="F4" s="203" t="s">
        <v>42</v>
      </c>
      <c r="G4" s="203" t="s">
        <v>43</v>
      </c>
      <c r="H4" s="235" t="s">
        <v>44</v>
      </c>
      <c r="I4" s="203" t="s">
        <v>45</v>
      </c>
      <c r="J4" s="235" t="s">
        <v>261</v>
      </c>
      <c r="K4" s="203" t="s">
        <v>152</v>
      </c>
      <c r="L4" s="203" t="s">
        <v>47</v>
      </c>
      <c r="M4" s="202"/>
    </row>
    <row r="5" spans="1:13" ht="82.5" x14ac:dyDescent="0.55000000000000004">
      <c r="A5" s="258" t="s">
        <v>36</v>
      </c>
      <c r="B5" s="203" t="s">
        <v>37</v>
      </c>
      <c r="C5" s="203" t="s">
        <v>38</v>
      </c>
      <c r="D5" s="203" t="s">
        <v>111</v>
      </c>
      <c r="E5" s="203" t="s">
        <v>262</v>
      </c>
      <c r="F5" s="203" t="s">
        <v>114</v>
      </c>
      <c r="G5" s="203" t="s">
        <v>115</v>
      </c>
      <c r="H5" s="259" t="s">
        <v>44</v>
      </c>
      <c r="I5" s="203" t="s">
        <v>116</v>
      </c>
      <c r="J5" s="259" t="s">
        <v>117</v>
      </c>
      <c r="K5" s="203" t="s">
        <v>152</v>
      </c>
      <c r="L5" s="260" t="s">
        <v>263</v>
      </c>
      <c r="M5" s="202"/>
    </row>
    <row r="6" spans="1:13" ht="110" x14ac:dyDescent="0.55000000000000004">
      <c r="A6" s="206" t="s">
        <v>75</v>
      </c>
      <c r="B6" s="205" t="s">
        <v>92</v>
      </c>
      <c r="C6" s="205" t="s">
        <v>76</v>
      </c>
      <c r="D6" s="205">
        <v>450</v>
      </c>
      <c r="E6" s="205">
        <v>194.7</v>
      </c>
      <c r="F6" s="205">
        <v>33</v>
      </c>
      <c r="G6" s="205">
        <v>1.5</v>
      </c>
      <c r="H6" s="202">
        <f t="shared" ref="H6:H37" si="0">(F6*E6)*G6</f>
        <v>9637.65</v>
      </c>
      <c r="I6" s="205">
        <v>0</v>
      </c>
      <c r="J6" s="202">
        <f t="shared" ref="J6:J37" si="1">(F6*E6)*I6</f>
        <v>0</v>
      </c>
      <c r="K6" s="205" t="s">
        <v>53</v>
      </c>
      <c r="L6" s="207" t="s">
        <v>57</v>
      </c>
      <c r="M6" s="202"/>
    </row>
    <row r="7" spans="1:13" ht="110" x14ac:dyDescent="0.55000000000000004">
      <c r="A7" s="206" t="s">
        <v>89</v>
      </c>
      <c r="B7" s="205" t="s">
        <v>92</v>
      </c>
      <c r="C7" s="205" t="s">
        <v>20</v>
      </c>
      <c r="D7" s="205">
        <v>80</v>
      </c>
      <c r="E7" s="205">
        <v>34.6</v>
      </c>
      <c r="F7" s="205">
        <v>470</v>
      </c>
      <c r="G7" s="205">
        <v>0.2</v>
      </c>
      <c r="H7" s="202">
        <f t="shared" si="0"/>
        <v>3252.4</v>
      </c>
      <c r="I7" s="205">
        <v>1.6</v>
      </c>
      <c r="J7" s="202">
        <f t="shared" si="1"/>
        <v>26019.200000000001</v>
      </c>
      <c r="K7" s="205" t="s">
        <v>53</v>
      </c>
      <c r="L7" s="207" t="s">
        <v>54</v>
      </c>
      <c r="M7" s="202"/>
    </row>
    <row r="8" spans="1:13" ht="137.5" x14ac:dyDescent="0.55000000000000004">
      <c r="A8" s="206" t="s">
        <v>98</v>
      </c>
      <c r="B8" s="205" t="s">
        <v>99</v>
      </c>
      <c r="C8" s="205" t="s">
        <v>100</v>
      </c>
      <c r="D8" s="205">
        <v>125</v>
      </c>
      <c r="E8" s="205">
        <v>12</v>
      </c>
      <c r="F8" s="205">
        <v>644</v>
      </c>
      <c r="G8" s="205">
        <v>0.26</v>
      </c>
      <c r="H8" s="202">
        <f t="shared" si="0"/>
        <v>2009.28</v>
      </c>
      <c r="I8" s="205">
        <v>0</v>
      </c>
      <c r="J8" s="202">
        <f t="shared" si="1"/>
        <v>0</v>
      </c>
      <c r="K8" s="205" t="s">
        <v>53</v>
      </c>
      <c r="L8" s="207" t="s">
        <v>57</v>
      </c>
      <c r="M8" s="202"/>
    </row>
    <row r="9" spans="1:13" ht="137.5" x14ac:dyDescent="0.55000000000000004">
      <c r="A9" s="206" t="s">
        <v>58</v>
      </c>
      <c r="B9" s="205" t="s">
        <v>108</v>
      </c>
      <c r="C9" s="205" t="s">
        <v>32</v>
      </c>
      <c r="D9" s="205">
        <v>200</v>
      </c>
      <c r="E9" s="205">
        <v>64.5</v>
      </c>
      <c r="F9" s="205">
        <v>2400</v>
      </c>
      <c r="G9" s="205">
        <v>0.19</v>
      </c>
      <c r="H9" s="202">
        <f t="shared" si="0"/>
        <v>29412</v>
      </c>
      <c r="I9" s="205">
        <v>0</v>
      </c>
      <c r="J9" s="202">
        <f t="shared" si="1"/>
        <v>0</v>
      </c>
      <c r="K9" s="205" t="s">
        <v>53</v>
      </c>
      <c r="L9" s="207" t="s">
        <v>57</v>
      </c>
      <c r="M9" s="202"/>
    </row>
    <row r="10" spans="1:13" ht="110" x14ac:dyDescent="0.55000000000000004">
      <c r="A10" s="206" t="s">
        <v>58</v>
      </c>
      <c r="B10" s="205" t="s">
        <v>103</v>
      </c>
      <c r="C10" s="205" t="s">
        <v>32</v>
      </c>
      <c r="D10" s="205">
        <v>300</v>
      </c>
      <c r="E10" s="205">
        <v>15.5</v>
      </c>
      <c r="F10" s="205">
        <v>2400</v>
      </c>
      <c r="G10" s="205">
        <v>0.19</v>
      </c>
      <c r="H10" s="202">
        <f t="shared" si="0"/>
        <v>7068</v>
      </c>
      <c r="I10" s="205">
        <v>0</v>
      </c>
      <c r="J10" s="202">
        <f t="shared" si="1"/>
        <v>0</v>
      </c>
      <c r="K10" s="205" t="s">
        <v>53</v>
      </c>
      <c r="L10" s="207" t="s">
        <v>54</v>
      </c>
      <c r="M10" s="202"/>
    </row>
    <row r="11" spans="1:13" ht="110" x14ac:dyDescent="0.55000000000000004">
      <c r="A11" s="206" t="s">
        <v>58</v>
      </c>
      <c r="B11" s="205" t="s">
        <v>105</v>
      </c>
      <c r="C11" s="205" t="s">
        <v>32</v>
      </c>
      <c r="D11" s="205">
        <v>300</v>
      </c>
      <c r="E11" s="205">
        <v>24</v>
      </c>
      <c r="F11" s="205">
        <v>2400</v>
      </c>
      <c r="G11" s="205">
        <v>0.19</v>
      </c>
      <c r="H11" s="202">
        <f t="shared" si="0"/>
        <v>10944</v>
      </c>
      <c r="I11" s="205">
        <v>0</v>
      </c>
      <c r="J11" s="202">
        <f t="shared" si="1"/>
        <v>0</v>
      </c>
      <c r="K11" s="205" t="s">
        <v>53</v>
      </c>
      <c r="L11" s="207" t="s">
        <v>57</v>
      </c>
      <c r="M11" s="202"/>
    </row>
    <row r="12" spans="1:13" ht="82.5" x14ac:dyDescent="0.55000000000000004">
      <c r="A12" s="206" t="s">
        <v>50</v>
      </c>
      <c r="B12" s="205" t="s">
        <v>97</v>
      </c>
      <c r="C12" s="205" t="s">
        <v>52</v>
      </c>
      <c r="D12" s="205">
        <v>66</v>
      </c>
      <c r="E12" s="205">
        <v>71.5</v>
      </c>
      <c r="F12" s="205">
        <v>61</v>
      </c>
      <c r="G12" s="205">
        <v>1.5</v>
      </c>
      <c r="H12" s="202">
        <f t="shared" si="0"/>
        <v>6542.25</v>
      </c>
      <c r="I12" s="205">
        <v>0</v>
      </c>
      <c r="J12" s="202">
        <f t="shared" si="1"/>
        <v>0</v>
      </c>
      <c r="K12" s="205" t="s">
        <v>53</v>
      </c>
      <c r="L12" s="207" t="s">
        <v>54</v>
      </c>
      <c r="M12" s="202"/>
    </row>
    <row r="13" spans="1:13" ht="55" x14ac:dyDescent="0.55000000000000004">
      <c r="A13" s="206" t="s">
        <v>79</v>
      </c>
      <c r="B13" s="205" t="s">
        <v>97</v>
      </c>
      <c r="C13" s="205" t="s">
        <v>15</v>
      </c>
      <c r="D13" s="205">
        <v>13</v>
      </c>
      <c r="E13" s="205">
        <v>16.5</v>
      </c>
      <c r="F13" s="205">
        <v>875</v>
      </c>
      <c r="G13" s="205">
        <v>0.28000000000000003</v>
      </c>
      <c r="H13" s="202">
        <f t="shared" si="0"/>
        <v>4042.5000000000005</v>
      </c>
      <c r="I13" s="205">
        <v>0</v>
      </c>
      <c r="J13" s="202">
        <f t="shared" si="1"/>
        <v>0</v>
      </c>
      <c r="K13" s="205" t="s">
        <v>53</v>
      </c>
      <c r="L13" s="207" t="s">
        <v>54</v>
      </c>
      <c r="M13" s="202"/>
    </row>
    <row r="14" spans="1:13" ht="55" x14ac:dyDescent="0.55000000000000004">
      <c r="A14" s="206" t="s">
        <v>79</v>
      </c>
      <c r="B14" s="205" t="s">
        <v>97</v>
      </c>
      <c r="C14" s="205" t="s">
        <v>15</v>
      </c>
      <c r="D14" s="205">
        <v>13</v>
      </c>
      <c r="E14" s="205">
        <v>16.5</v>
      </c>
      <c r="F14" s="205">
        <v>875</v>
      </c>
      <c r="G14" s="205">
        <v>0.28000000000000003</v>
      </c>
      <c r="H14" s="202">
        <f t="shared" si="0"/>
        <v>4042.5000000000005</v>
      </c>
      <c r="I14" s="205">
        <v>0</v>
      </c>
      <c r="J14" s="202">
        <f t="shared" si="1"/>
        <v>0</v>
      </c>
      <c r="K14" s="205" t="s">
        <v>53</v>
      </c>
      <c r="L14" s="207" t="s">
        <v>57</v>
      </c>
      <c r="M14" s="202"/>
    </row>
    <row r="15" spans="1:13" ht="192.5" x14ac:dyDescent="0.55000000000000004">
      <c r="A15" s="206" t="s">
        <v>50</v>
      </c>
      <c r="B15" s="205" t="s">
        <v>62</v>
      </c>
      <c r="C15" s="205" t="s">
        <v>52</v>
      </c>
      <c r="D15" s="205">
        <v>98</v>
      </c>
      <c r="E15" s="205">
        <v>21.6</v>
      </c>
      <c r="F15" s="205">
        <v>61</v>
      </c>
      <c r="G15" s="205">
        <v>1.5</v>
      </c>
      <c r="H15" s="202">
        <f t="shared" si="0"/>
        <v>1976.4</v>
      </c>
      <c r="I15" s="205">
        <v>0</v>
      </c>
      <c r="J15" s="202">
        <f t="shared" si="1"/>
        <v>0</v>
      </c>
      <c r="K15" s="205" t="s">
        <v>53</v>
      </c>
      <c r="L15" s="207" t="s">
        <v>57</v>
      </c>
      <c r="M15" s="202"/>
    </row>
    <row r="16" spans="1:13" ht="192.5" x14ac:dyDescent="0.55000000000000004">
      <c r="A16" s="206" t="s">
        <v>89</v>
      </c>
      <c r="B16" s="205" t="s">
        <v>62</v>
      </c>
      <c r="C16" s="205" t="s">
        <v>20</v>
      </c>
      <c r="D16" s="205">
        <v>80</v>
      </c>
      <c r="E16" s="205">
        <v>16.399999999999999</v>
      </c>
      <c r="F16" s="205">
        <v>470</v>
      </c>
      <c r="G16" s="205">
        <v>0.2</v>
      </c>
      <c r="H16" s="202">
        <f t="shared" si="0"/>
        <v>1541.6</v>
      </c>
      <c r="I16" s="205">
        <v>1.6</v>
      </c>
      <c r="J16" s="202">
        <f t="shared" si="1"/>
        <v>12332.8</v>
      </c>
      <c r="K16" s="205" t="s">
        <v>53</v>
      </c>
      <c r="L16" s="207" t="s">
        <v>57</v>
      </c>
      <c r="M16" s="202"/>
    </row>
    <row r="17" spans="1:13" ht="192.5" x14ac:dyDescent="0.55000000000000004">
      <c r="A17" s="206" t="s">
        <v>59</v>
      </c>
      <c r="B17" s="205" t="s">
        <v>62</v>
      </c>
      <c r="C17" s="205" t="s">
        <v>61</v>
      </c>
      <c r="D17" s="205">
        <v>20</v>
      </c>
      <c r="E17" s="205">
        <v>4.2</v>
      </c>
      <c r="F17" s="205">
        <v>0</v>
      </c>
      <c r="G17" s="205">
        <v>0</v>
      </c>
      <c r="H17" s="202">
        <f t="shared" si="0"/>
        <v>0</v>
      </c>
      <c r="I17" s="205">
        <v>0</v>
      </c>
      <c r="J17" s="202">
        <f t="shared" si="1"/>
        <v>0</v>
      </c>
      <c r="K17" s="205" t="s">
        <v>53</v>
      </c>
      <c r="L17" s="207" t="s">
        <v>57</v>
      </c>
      <c r="M17" s="202"/>
    </row>
    <row r="18" spans="1:13" ht="192.5" x14ac:dyDescent="0.55000000000000004">
      <c r="A18" s="206" t="s">
        <v>79</v>
      </c>
      <c r="B18" s="205" t="s">
        <v>62</v>
      </c>
      <c r="C18" s="205" t="s">
        <v>15</v>
      </c>
      <c r="D18" s="205">
        <v>15</v>
      </c>
      <c r="E18" s="205">
        <v>3</v>
      </c>
      <c r="F18" s="205">
        <v>875</v>
      </c>
      <c r="G18" s="205">
        <v>0.28000000000000003</v>
      </c>
      <c r="H18" s="202">
        <f t="shared" si="0"/>
        <v>735.00000000000011</v>
      </c>
      <c r="I18" s="205">
        <v>0</v>
      </c>
      <c r="J18" s="202">
        <f t="shared" si="1"/>
        <v>0</v>
      </c>
      <c r="K18" s="205" t="s">
        <v>53</v>
      </c>
      <c r="L18" s="207" t="s">
        <v>54</v>
      </c>
      <c r="M18" s="202"/>
    </row>
    <row r="19" spans="1:13" ht="192.5" x14ac:dyDescent="0.55000000000000004">
      <c r="A19" s="206" t="s">
        <v>79</v>
      </c>
      <c r="B19" s="205" t="s">
        <v>62</v>
      </c>
      <c r="C19" s="205" t="s">
        <v>15</v>
      </c>
      <c r="D19" s="205">
        <v>15</v>
      </c>
      <c r="E19" s="205">
        <v>6</v>
      </c>
      <c r="F19" s="205">
        <v>875</v>
      </c>
      <c r="G19" s="205">
        <v>0.28000000000000003</v>
      </c>
      <c r="H19" s="202">
        <f t="shared" si="0"/>
        <v>1470.0000000000002</v>
      </c>
      <c r="I19" s="205">
        <v>0</v>
      </c>
      <c r="J19" s="202">
        <f t="shared" si="1"/>
        <v>0</v>
      </c>
      <c r="K19" s="205" t="s">
        <v>53</v>
      </c>
      <c r="L19" s="207" t="s">
        <v>57</v>
      </c>
      <c r="M19" s="202"/>
    </row>
    <row r="20" spans="1:13" ht="55" x14ac:dyDescent="0.55000000000000004">
      <c r="A20" s="206" t="s">
        <v>89</v>
      </c>
      <c r="B20" s="205" t="s">
        <v>80</v>
      </c>
      <c r="C20" s="205" t="s">
        <v>20</v>
      </c>
      <c r="D20" s="205">
        <v>80</v>
      </c>
      <c r="E20" s="205">
        <v>8.6</v>
      </c>
      <c r="F20" s="205">
        <v>470</v>
      </c>
      <c r="G20" s="205">
        <v>0.2</v>
      </c>
      <c r="H20" s="202">
        <f t="shared" si="0"/>
        <v>808.40000000000009</v>
      </c>
      <c r="I20" s="205">
        <v>1.6</v>
      </c>
      <c r="J20" s="202">
        <f t="shared" si="1"/>
        <v>6467.2000000000007</v>
      </c>
      <c r="K20" s="205" t="s">
        <v>53</v>
      </c>
      <c r="L20" s="207" t="s">
        <v>54</v>
      </c>
      <c r="M20" s="202"/>
    </row>
    <row r="21" spans="1:13" ht="55" x14ac:dyDescent="0.55000000000000004">
      <c r="A21" s="206" t="s">
        <v>79</v>
      </c>
      <c r="B21" s="205" t="s">
        <v>80</v>
      </c>
      <c r="C21" s="205" t="s">
        <v>15</v>
      </c>
      <c r="D21" s="205">
        <v>15</v>
      </c>
      <c r="E21" s="205">
        <v>1.8</v>
      </c>
      <c r="F21" s="205">
        <v>875</v>
      </c>
      <c r="G21" s="205">
        <v>0.28000000000000003</v>
      </c>
      <c r="H21" s="202">
        <f t="shared" si="0"/>
        <v>441.00000000000006</v>
      </c>
      <c r="I21" s="205">
        <v>0</v>
      </c>
      <c r="J21" s="202">
        <f t="shared" si="1"/>
        <v>0</v>
      </c>
      <c r="K21" s="205" t="s">
        <v>53</v>
      </c>
      <c r="L21" s="207" t="s">
        <v>57</v>
      </c>
      <c r="M21" s="202"/>
    </row>
    <row r="22" spans="1:13" ht="55" x14ac:dyDescent="0.55000000000000004">
      <c r="A22" s="206" t="s">
        <v>79</v>
      </c>
      <c r="B22" s="205" t="s">
        <v>80</v>
      </c>
      <c r="C22" s="205" t="s">
        <v>15</v>
      </c>
      <c r="D22" s="205">
        <v>15</v>
      </c>
      <c r="E22" s="205">
        <v>1.8</v>
      </c>
      <c r="F22" s="205">
        <v>875</v>
      </c>
      <c r="G22" s="205">
        <v>0.28000000000000003</v>
      </c>
      <c r="H22" s="202">
        <f t="shared" si="0"/>
        <v>441.00000000000006</v>
      </c>
      <c r="I22" s="205">
        <v>0</v>
      </c>
      <c r="J22" s="202">
        <f t="shared" si="1"/>
        <v>0</v>
      </c>
      <c r="K22" s="205" t="s">
        <v>53</v>
      </c>
      <c r="L22" s="207" t="s">
        <v>54</v>
      </c>
      <c r="M22" s="202"/>
    </row>
    <row r="23" spans="1:13" ht="220" x14ac:dyDescent="0.55000000000000004">
      <c r="A23" s="206" t="s">
        <v>89</v>
      </c>
      <c r="B23" s="205" t="s">
        <v>85</v>
      </c>
      <c r="C23" s="205" t="s">
        <v>20</v>
      </c>
      <c r="D23" s="205">
        <v>80</v>
      </c>
      <c r="E23" s="205">
        <v>23.1</v>
      </c>
      <c r="F23" s="205">
        <v>470</v>
      </c>
      <c r="G23" s="205">
        <v>0.2</v>
      </c>
      <c r="H23" s="202">
        <f t="shared" si="0"/>
        <v>2171.4</v>
      </c>
      <c r="I23" s="205">
        <v>1.6</v>
      </c>
      <c r="J23" s="202">
        <f t="shared" si="1"/>
        <v>17371.2</v>
      </c>
      <c r="K23" s="205" t="s">
        <v>53</v>
      </c>
      <c r="L23" s="207" t="s">
        <v>57</v>
      </c>
      <c r="M23" s="202"/>
    </row>
    <row r="24" spans="1:13" ht="220" x14ac:dyDescent="0.55000000000000004">
      <c r="A24" s="206" t="s">
        <v>79</v>
      </c>
      <c r="B24" s="205" t="s">
        <v>85</v>
      </c>
      <c r="C24" s="205" t="s">
        <v>15</v>
      </c>
      <c r="D24" s="205">
        <v>15</v>
      </c>
      <c r="E24" s="205">
        <v>3.5</v>
      </c>
      <c r="F24" s="205">
        <v>875</v>
      </c>
      <c r="G24" s="205">
        <v>0.28000000000000003</v>
      </c>
      <c r="H24" s="202">
        <f t="shared" si="0"/>
        <v>857.50000000000011</v>
      </c>
      <c r="I24" s="205">
        <v>0</v>
      </c>
      <c r="J24" s="202">
        <f t="shared" si="1"/>
        <v>0</v>
      </c>
      <c r="K24" s="205" t="s">
        <v>53</v>
      </c>
      <c r="L24" s="207" t="s">
        <v>57</v>
      </c>
      <c r="M24" s="202"/>
    </row>
    <row r="25" spans="1:13" ht="220" x14ac:dyDescent="0.55000000000000004">
      <c r="A25" s="206" t="s">
        <v>79</v>
      </c>
      <c r="B25" s="205" t="s">
        <v>85</v>
      </c>
      <c r="C25" s="205" t="s">
        <v>15</v>
      </c>
      <c r="D25" s="205">
        <v>15</v>
      </c>
      <c r="E25" s="205">
        <v>3.5</v>
      </c>
      <c r="F25" s="205">
        <v>875</v>
      </c>
      <c r="G25" s="205">
        <v>0.28000000000000003</v>
      </c>
      <c r="H25" s="202">
        <f t="shared" si="0"/>
        <v>857.50000000000011</v>
      </c>
      <c r="I25" s="205">
        <v>0</v>
      </c>
      <c r="J25" s="202">
        <f t="shared" si="1"/>
        <v>0</v>
      </c>
      <c r="K25" s="205" t="s">
        <v>53</v>
      </c>
      <c r="L25" s="207" t="s">
        <v>54</v>
      </c>
      <c r="M25" s="202"/>
    </row>
    <row r="26" spans="1:13" ht="220" x14ac:dyDescent="0.55000000000000004">
      <c r="A26" s="206" t="s">
        <v>50</v>
      </c>
      <c r="B26" s="205" t="s">
        <v>93</v>
      </c>
      <c r="C26" s="205" t="s">
        <v>52</v>
      </c>
      <c r="D26" s="205">
        <v>66</v>
      </c>
      <c r="E26" s="205">
        <v>19.399999999999999</v>
      </c>
      <c r="F26" s="205">
        <v>61</v>
      </c>
      <c r="G26" s="205">
        <v>1.5</v>
      </c>
      <c r="H26" s="202">
        <f t="shared" si="0"/>
        <v>1775.1</v>
      </c>
      <c r="I26" s="205">
        <v>0</v>
      </c>
      <c r="J26" s="202">
        <f t="shared" si="1"/>
        <v>0</v>
      </c>
      <c r="K26" s="205" t="s">
        <v>53</v>
      </c>
      <c r="L26" s="207" t="s">
        <v>54</v>
      </c>
      <c r="M26" s="202"/>
    </row>
    <row r="27" spans="1:13" ht="220" x14ac:dyDescent="0.55000000000000004">
      <c r="A27" s="206" t="s">
        <v>79</v>
      </c>
      <c r="B27" s="205" t="s">
        <v>93</v>
      </c>
      <c r="C27" s="205" t="s">
        <v>15</v>
      </c>
      <c r="D27" s="205">
        <v>15</v>
      </c>
      <c r="E27" s="205">
        <v>7</v>
      </c>
      <c r="F27" s="205">
        <v>875</v>
      </c>
      <c r="G27" s="205">
        <v>0.28000000000000003</v>
      </c>
      <c r="H27" s="202">
        <f t="shared" si="0"/>
        <v>1715.0000000000002</v>
      </c>
      <c r="I27" s="205">
        <v>0</v>
      </c>
      <c r="J27" s="202">
        <f t="shared" si="1"/>
        <v>0</v>
      </c>
      <c r="K27" s="205" t="s">
        <v>53</v>
      </c>
      <c r="L27" s="207" t="s">
        <v>57</v>
      </c>
      <c r="M27" s="202"/>
    </row>
    <row r="28" spans="1:13" ht="165" x14ac:dyDescent="0.55000000000000004">
      <c r="A28" s="206" t="s">
        <v>50</v>
      </c>
      <c r="B28" s="205" t="s">
        <v>63</v>
      </c>
      <c r="C28" s="205" t="s">
        <v>52</v>
      </c>
      <c r="D28" s="205">
        <v>68</v>
      </c>
      <c r="E28" s="205">
        <v>16.600000000000001</v>
      </c>
      <c r="F28" s="205">
        <v>61</v>
      </c>
      <c r="G28" s="205">
        <v>1.5</v>
      </c>
      <c r="H28" s="202">
        <f t="shared" si="0"/>
        <v>1518.9</v>
      </c>
      <c r="I28" s="205">
        <v>0</v>
      </c>
      <c r="J28" s="202">
        <f t="shared" si="1"/>
        <v>0</v>
      </c>
      <c r="K28" s="205" t="s">
        <v>53</v>
      </c>
      <c r="L28" s="207" t="s">
        <v>54</v>
      </c>
      <c r="M28" s="202"/>
    </row>
    <row r="29" spans="1:13" ht="165" x14ac:dyDescent="0.55000000000000004">
      <c r="A29" s="206" t="s">
        <v>89</v>
      </c>
      <c r="B29" s="205" t="s">
        <v>63</v>
      </c>
      <c r="C29" s="205" t="s">
        <v>20</v>
      </c>
      <c r="D29" s="205">
        <v>80</v>
      </c>
      <c r="E29" s="205">
        <v>19</v>
      </c>
      <c r="F29" s="205">
        <v>470</v>
      </c>
      <c r="G29" s="205">
        <v>0.2</v>
      </c>
      <c r="H29" s="202">
        <f t="shared" si="0"/>
        <v>1786</v>
      </c>
      <c r="I29" s="205">
        <v>1.6</v>
      </c>
      <c r="J29" s="202">
        <f t="shared" si="1"/>
        <v>14288</v>
      </c>
      <c r="K29" s="205" t="s">
        <v>53</v>
      </c>
      <c r="L29" s="207" t="s">
        <v>54</v>
      </c>
      <c r="M29" s="202"/>
    </row>
    <row r="30" spans="1:13" ht="165" x14ac:dyDescent="0.55000000000000004">
      <c r="A30" s="206" t="s">
        <v>59</v>
      </c>
      <c r="B30" s="205" t="s">
        <v>63</v>
      </c>
      <c r="C30" s="205" t="s">
        <v>61</v>
      </c>
      <c r="D30" s="205">
        <v>20</v>
      </c>
      <c r="E30" s="205">
        <v>5.0999999999999996</v>
      </c>
      <c r="F30" s="205">
        <v>0</v>
      </c>
      <c r="G30" s="205">
        <v>0</v>
      </c>
      <c r="H30" s="202">
        <f t="shared" si="0"/>
        <v>0</v>
      </c>
      <c r="I30" s="205">
        <v>0</v>
      </c>
      <c r="J30" s="202">
        <f t="shared" si="1"/>
        <v>0</v>
      </c>
      <c r="K30" s="205" t="s">
        <v>53</v>
      </c>
      <c r="L30" s="207" t="s">
        <v>54</v>
      </c>
      <c r="M30" s="202"/>
    </row>
    <row r="31" spans="1:13" ht="165" x14ac:dyDescent="0.55000000000000004">
      <c r="A31" s="206" t="s">
        <v>79</v>
      </c>
      <c r="B31" s="205" t="s">
        <v>63</v>
      </c>
      <c r="C31" s="205" t="s">
        <v>15</v>
      </c>
      <c r="D31" s="205">
        <v>15</v>
      </c>
      <c r="E31" s="205">
        <v>8.6999999999999993</v>
      </c>
      <c r="F31" s="205">
        <v>875</v>
      </c>
      <c r="G31" s="205">
        <v>0.28000000000000003</v>
      </c>
      <c r="H31" s="202">
        <f t="shared" si="0"/>
        <v>2131.5</v>
      </c>
      <c r="I31" s="205">
        <v>0</v>
      </c>
      <c r="J31" s="202">
        <f t="shared" si="1"/>
        <v>0</v>
      </c>
      <c r="K31" s="205" t="s">
        <v>53</v>
      </c>
      <c r="L31" s="207" t="s">
        <v>57</v>
      </c>
      <c r="M31" s="202"/>
    </row>
    <row r="32" spans="1:13" ht="137.5" x14ac:dyDescent="0.55000000000000004">
      <c r="A32" s="206" t="s">
        <v>50</v>
      </c>
      <c r="B32" s="205" t="s">
        <v>102</v>
      </c>
      <c r="C32" s="205" t="s">
        <v>52</v>
      </c>
      <c r="D32" s="205">
        <v>50</v>
      </c>
      <c r="E32" s="205">
        <v>43</v>
      </c>
      <c r="F32" s="205">
        <v>61</v>
      </c>
      <c r="G32" s="205">
        <v>1.5</v>
      </c>
      <c r="H32" s="202">
        <f t="shared" si="0"/>
        <v>3934.5</v>
      </c>
      <c r="I32" s="205">
        <v>0</v>
      </c>
      <c r="J32" s="202">
        <f t="shared" si="1"/>
        <v>0</v>
      </c>
      <c r="K32" s="205" t="s">
        <v>53</v>
      </c>
      <c r="L32" s="207" t="s">
        <v>54</v>
      </c>
      <c r="M32" s="202"/>
    </row>
    <row r="33" spans="1:13" ht="137.5" x14ac:dyDescent="0.55000000000000004">
      <c r="A33" s="206" t="s">
        <v>89</v>
      </c>
      <c r="B33" s="205" t="s">
        <v>102</v>
      </c>
      <c r="C33" s="205" t="s">
        <v>20</v>
      </c>
      <c r="D33" s="205">
        <v>80</v>
      </c>
      <c r="E33" s="205">
        <v>137.6</v>
      </c>
      <c r="F33" s="205">
        <v>470</v>
      </c>
      <c r="G33" s="205">
        <v>0.2</v>
      </c>
      <c r="H33" s="202">
        <f t="shared" si="0"/>
        <v>12934.400000000001</v>
      </c>
      <c r="I33" s="205">
        <v>1.6</v>
      </c>
      <c r="J33" s="202">
        <f t="shared" si="1"/>
        <v>103475.20000000001</v>
      </c>
      <c r="K33" s="205" t="s">
        <v>53</v>
      </c>
      <c r="L33" s="207" t="s">
        <v>54</v>
      </c>
      <c r="M33" s="202"/>
    </row>
    <row r="34" spans="1:13" ht="137.5" x14ac:dyDescent="0.55000000000000004">
      <c r="A34" s="206" t="s">
        <v>79</v>
      </c>
      <c r="B34" s="205" t="s">
        <v>102</v>
      </c>
      <c r="C34" s="205" t="s">
        <v>15</v>
      </c>
      <c r="D34" s="205">
        <v>15</v>
      </c>
      <c r="E34" s="205">
        <v>26</v>
      </c>
      <c r="F34" s="205">
        <v>875</v>
      </c>
      <c r="G34" s="205">
        <v>0.28000000000000003</v>
      </c>
      <c r="H34" s="202">
        <f t="shared" si="0"/>
        <v>6370.0000000000009</v>
      </c>
      <c r="I34" s="205">
        <v>0</v>
      </c>
      <c r="J34" s="202">
        <f t="shared" si="1"/>
        <v>0</v>
      </c>
      <c r="K34" s="205" t="s">
        <v>53</v>
      </c>
      <c r="L34" s="207" t="s">
        <v>57</v>
      </c>
      <c r="M34" s="202"/>
    </row>
    <row r="35" spans="1:13" ht="110" x14ac:dyDescent="0.55000000000000004">
      <c r="A35" s="206" t="s">
        <v>95</v>
      </c>
      <c r="B35" s="205" t="s">
        <v>96</v>
      </c>
      <c r="C35" s="205" t="s">
        <v>30</v>
      </c>
      <c r="D35" s="205">
        <v>300</v>
      </c>
      <c r="E35" s="205">
        <v>3.8</v>
      </c>
      <c r="F35" s="205">
        <v>2375</v>
      </c>
      <c r="G35" s="205">
        <v>0.15</v>
      </c>
      <c r="H35" s="202">
        <f t="shared" si="0"/>
        <v>1353.75</v>
      </c>
      <c r="I35" s="205">
        <v>0</v>
      </c>
      <c r="J35" s="202">
        <f t="shared" si="1"/>
        <v>0</v>
      </c>
      <c r="K35" s="205" t="s">
        <v>53</v>
      </c>
      <c r="L35" s="207" t="s">
        <v>54</v>
      </c>
      <c r="M35" s="202"/>
    </row>
    <row r="36" spans="1:13" ht="110" x14ac:dyDescent="0.55000000000000004">
      <c r="A36" s="206" t="s">
        <v>95</v>
      </c>
      <c r="B36" s="205" t="s">
        <v>104</v>
      </c>
      <c r="C36" s="205" t="s">
        <v>30</v>
      </c>
      <c r="D36" s="205">
        <v>200</v>
      </c>
      <c r="E36" s="205">
        <v>16.3</v>
      </c>
      <c r="F36" s="205">
        <v>2375</v>
      </c>
      <c r="G36" s="205">
        <v>0.15</v>
      </c>
      <c r="H36" s="202">
        <f t="shared" si="0"/>
        <v>5806.875</v>
      </c>
      <c r="I36" s="205">
        <v>0</v>
      </c>
      <c r="J36" s="202">
        <f t="shared" si="1"/>
        <v>0</v>
      </c>
      <c r="K36" s="205" t="s">
        <v>53</v>
      </c>
      <c r="L36" s="207" t="s">
        <v>54</v>
      </c>
      <c r="M36" s="202"/>
    </row>
    <row r="37" spans="1:13" ht="110" x14ac:dyDescent="0.55000000000000004">
      <c r="A37" s="206" t="s">
        <v>89</v>
      </c>
      <c r="B37" s="205" t="s">
        <v>120</v>
      </c>
      <c r="C37" s="205" t="s">
        <v>20</v>
      </c>
      <c r="D37" s="205">
        <v>200</v>
      </c>
      <c r="E37" s="205">
        <v>47.5</v>
      </c>
      <c r="F37" s="205">
        <v>470</v>
      </c>
      <c r="G37" s="205">
        <v>0.2</v>
      </c>
      <c r="H37" s="202">
        <f t="shared" si="0"/>
        <v>4465</v>
      </c>
      <c r="I37" s="205">
        <v>1.6</v>
      </c>
      <c r="J37" s="202">
        <f t="shared" si="1"/>
        <v>35720</v>
      </c>
      <c r="K37" s="205" t="s">
        <v>53</v>
      </c>
      <c r="L37" s="207" t="s">
        <v>57</v>
      </c>
      <c r="M37" s="202"/>
    </row>
    <row r="38" spans="1:13" ht="110" x14ac:dyDescent="0.55000000000000004">
      <c r="A38" s="206" t="s">
        <v>59</v>
      </c>
      <c r="B38" s="205" t="s">
        <v>120</v>
      </c>
      <c r="C38" s="205" t="s">
        <v>61</v>
      </c>
      <c r="D38" s="205">
        <v>230</v>
      </c>
      <c r="E38" s="205">
        <v>53.1</v>
      </c>
      <c r="F38" s="205">
        <v>0</v>
      </c>
      <c r="G38" s="205">
        <v>0</v>
      </c>
      <c r="H38" s="202">
        <f t="shared" ref="H38:H69" si="2">(F38*E38)*G38</f>
        <v>0</v>
      </c>
      <c r="I38" s="205">
        <v>0</v>
      </c>
      <c r="J38" s="202">
        <f t="shared" ref="J38:J69" si="3">(F38*E38)*I38</f>
        <v>0</v>
      </c>
      <c r="K38" s="205" t="s">
        <v>53</v>
      </c>
      <c r="L38" s="207" t="s">
        <v>54</v>
      </c>
      <c r="M38" s="202"/>
    </row>
    <row r="39" spans="1:13" ht="110" x14ac:dyDescent="0.55000000000000004">
      <c r="A39" s="206" t="s">
        <v>79</v>
      </c>
      <c r="B39" s="205" t="s">
        <v>120</v>
      </c>
      <c r="C39" s="205" t="s">
        <v>15</v>
      </c>
      <c r="D39" s="205">
        <v>15</v>
      </c>
      <c r="E39" s="205">
        <v>10.5</v>
      </c>
      <c r="F39" s="205">
        <v>875</v>
      </c>
      <c r="G39" s="205">
        <v>0.28000000000000003</v>
      </c>
      <c r="H39" s="202">
        <f t="shared" si="2"/>
        <v>2572.5000000000005</v>
      </c>
      <c r="I39" s="205">
        <v>0</v>
      </c>
      <c r="J39" s="202">
        <f t="shared" si="3"/>
        <v>0</v>
      </c>
      <c r="K39" s="205" t="s">
        <v>53</v>
      </c>
      <c r="L39" s="207" t="s">
        <v>54</v>
      </c>
      <c r="M39" s="202"/>
    </row>
    <row r="40" spans="1:13" ht="165" x14ac:dyDescent="0.55000000000000004">
      <c r="A40" s="206" t="s">
        <v>50</v>
      </c>
      <c r="B40" s="205" t="s">
        <v>118</v>
      </c>
      <c r="C40" s="205" t="s">
        <v>52</v>
      </c>
      <c r="D40" s="205">
        <v>30</v>
      </c>
      <c r="E40" s="205">
        <v>5.5</v>
      </c>
      <c r="F40" s="205">
        <v>61</v>
      </c>
      <c r="G40" s="205">
        <v>1.5</v>
      </c>
      <c r="H40" s="202">
        <f t="shared" si="2"/>
        <v>503.25</v>
      </c>
      <c r="I40" s="205">
        <v>0</v>
      </c>
      <c r="J40" s="202">
        <f t="shared" si="3"/>
        <v>0</v>
      </c>
      <c r="K40" s="205" t="s">
        <v>53</v>
      </c>
      <c r="L40" s="207" t="s">
        <v>57</v>
      </c>
      <c r="M40" s="202"/>
    </row>
    <row r="41" spans="1:13" ht="165" x14ac:dyDescent="0.55000000000000004">
      <c r="A41" s="206" t="s">
        <v>89</v>
      </c>
      <c r="B41" s="205" t="s">
        <v>118</v>
      </c>
      <c r="C41" s="205" t="s">
        <v>20</v>
      </c>
      <c r="D41" s="205">
        <v>80</v>
      </c>
      <c r="E41" s="205">
        <v>22</v>
      </c>
      <c r="F41" s="205">
        <v>470</v>
      </c>
      <c r="G41" s="205">
        <v>0.2</v>
      </c>
      <c r="H41" s="202">
        <f t="shared" si="2"/>
        <v>2068</v>
      </c>
      <c r="I41" s="205">
        <v>1.6</v>
      </c>
      <c r="J41" s="202">
        <f t="shared" si="3"/>
        <v>16544</v>
      </c>
      <c r="K41" s="205" t="s">
        <v>53</v>
      </c>
      <c r="L41" s="207" t="s">
        <v>57</v>
      </c>
      <c r="M41" s="202"/>
    </row>
    <row r="42" spans="1:13" ht="165" x14ac:dyDescent="0.55000000000000004">
      <c r="A42" s="206" t="s">
        <v>79</v>
      </c>
      <c r="B42" s="205" t="s">
        <v>118</v>
      </c>
      <c r="C42" s="205" t="s">
        <v>15</v>
      </c>
      <c r="D42" s="205">
        <v>15</v>
      </c>
      <c r="E42" s="205">
        <v>5.5</v>
      </c>
      <c r="F42" s="205">
        <v>875</v>
      </c>
      <c r="G42" s="205">
        <v>0.28000000000000003</v>
      </c>
      <c r="H42" s="202">
        <f t="shared" si="2"/>
        <v>1347.5000000000002</v>
      </c>
      <c r="I42" s="205">
        <v>0</v>
      </c>
      <c r="J42" s="202">
        <f t="shared" si="3"/>
        <v>0</v>
      </c>
      <c r="K42" s="205" t="s">
        <v>53</v>
      </c>
      <c r="L42" s="207" t="s">
        <v>57</v>
      </c>
      <c r="M42" s="202"/>
    </row>
    <row r="43" spans="1:13" ht="165" x14ac:dyDescent="0.55000000000000004">
      <c r="A43" s="206" t="s">
        <v>101</v>
      </c>
      <c r="B43" s="205" t="s">
        <v>118</v>
      </c>
      <c r="C43" s="205" t="s">
        <v>4</v>
      </c>
      <c r="D43" s="205">
        <v>40</v>
      </c>
      <c r="E43" s="205">
        <v>11</v>
      </c>
      <c r="F43" s="205">
        <v>2353</v>
      </c>
      <c r="G43" s="205">
        <v>0.12</v>
      </c>
      <c r="H43" s="202">
        <f t="shared" si="2"/>
        <v>3105.96</v>
      </c>
      <c r="I43" s="205">
        <v>0</v>
      </c>
      <c r="J43" s="202">
        <f t="shared" si="3"/>
        <v>0</v>
      </c>
      <c r="K43" s="205" t="s">
        <v>53</v>
      </c>
      <c r="L43" s="207" t="s">
        <v>57</v>
      </c>
      <c r="M43" s="202"/>
    </row>
    <row r="44" spans="1:13" ht="165" x14ac:dyDescent="0.55000000000000004">
      <c r="A44" s="206" t="s">
        <v>64</v>
      </c>
      <c r="B44" s="205" t="s">
        <v>118</v>
      </c>
      <c r="C44" s="205" t="s">
        <v>66</v>
      </c>
      <c r="D44" s="205">
        <v>25</v>
      </c>
      <c r="E44" s="205">
        <v>5.5</v>
      </c>
      <c r="F44" s="205">
        <v>0</v>
      </c>
      <c r="G44" s="205">
        <v>0</v>
      </c>
      <c r="H44" s="202">
        <f t="shared" si="2"/>
        <v>0</v>
      </c>
      <c r="I44" s="205">
        <v>0</v>
      </c>
      <c r="J44" s="202">
        <f t="shared" si="3"/>
        <v>0</v>
      </c>
      <c r="K44" s="205" t="s">
        <v>53</v>
      </c>
      <c r="L44" s="207" t="s">
        <v>57</v>
      </c>
      <c r="M44" s="202"/>
    </row>
    <row r="45" spans="1:13" ht="165" x14ac:dyDescent="0.55000000000000004">
      <c r="A45" s="206" t="s">
        <v>64</v>
      </c>
      <c r="B45" s="205" t="s">
        <v>118</v>
      </c>
      <c r="C45" s="205" t="s">
        <v>66</v>
      </c>
      <c r="D45" s="205">
        <v>48</v>
      </c>
      <c r="E45" s="205">
        <v>11</v>
      </c>
      <c r="F45" s="205">
        <v>0</v>
      </c>
      <c r="G45" s="205">
        <v>0</v>
      </c>
      <c r="H45" s="202">
        <f t="shared" si="2"/>
        <v>0</v>
      </c>
      <c r="I45" s="205">
        <v>0</v>
      </c>
      <c r="J45" s="202">
        <f t="shared" si="3"/>
        <v>0</v>
      </c>
      <c r="K45" s="205" t="s">
        <v>53</v>
      </c>
      <c r="L45" s="207" t="s">
        <v>57</v>
      </c>
      <c r="M45" s="202"/>
    </row>
    <row r="46" spans="1:13" ht="165" x14ac:dyDescent="0.55000000000000004">
      <c r="A46" s="206" t="s">
        <v>64</v>
      </c>
      <c r="B46" s="205" t="s">
        <v>118</v>
      </c>
      <c r="C46" s="205" t="s">
        <v>66</v>
      </c>
      <c r="D46" s="205">
        <v>150</v>
      </c>
      <c r="E46" s="205">
        <v>38.4</v>
      </c>
      <c r="F46" s="205">
        <v>0</v>
      </c>
      <c r="G46" s="205">
        <v>0</v>
      </c>
      <c r="H46" s="202">
        <f t="shared" si="2"/>
        <v>0</v>
      </c>
      <c r="I46" s="205">
        <v>0</v>
      </c>
      <c r="J46" s="202">
        <f t="shared" si="3"/>
        <v>0</v>
      </c>
      <c r="K46" s="205" t="s">
        <v>53</v>
      </c>
      <c r="L46" s="207" t="s">
        <v>57</v>
      </c>
      <c r="M46" s="202"/>
    </row>
    <row r="47" spans="1:13" ht="165" x14ac:dyDescent="0.55000000000000004">
      <c r="A47" s="206" t="s">
        <v>121</v>
      </c>
      <c r="B47" s="205" t="s">
        <v>118</v>
      </c>
      <c r="C47" s="205" t="s">
        <v>13</v>
      </c>
      <c r="D47" s="205">
        <v>50</v>
      </c>
      <c r="E47" s="205">
        <v>11</v>
      </c>
      <c r="F47" s="205">
        <v>1000</v>
      </c>
      <c r="G47" s="205">
        <v>0.05</v>
      </c>
      <c r="H47" s="202">
        <f t="shared" si="2"/>
        <v>550</v>
      </c>
      <c r="I47" s="205">
        <v>0</v>
      </c>
      <c r="J47" s="202">
        <f t="shared" si="3"/>
        <v>0</v>
      </c>
      <c r="K47" s="205" t="s">
        <v>53</v>
      </c>
      <c r="L47" s="207" t="s">
        <v>57</v>
      </c>
      <c r="M47" s="202"/>
    </row>
    <row r="48" spans="1:13" ht="110" x14ac:dyDescent="0.55000000000000004">
      <c r="A48" s="206" t="s">
        <v>50</v>
      </c>
      <c r="B48" s="205" t="s">
        <v>119</v>
      </c>
      <c r="C48" s="205" t="s">
        <v>52</v>
      </c>
      <c r="D48" s="205">
        <v>30</v>
      </c>
      <c r="E48" s="205">
        <v>42</v>
      </c>
      <c r="F48" s="205">
        <v>61</v>
      </c>
      <c r="G48" s="205">
        <v>1.5</v>
      </c>
      <c r="H48" s="202">
        <f t="shared" si="2"/>
        <v>3843</v>
      </c>
      <c r="I48" s="205">
        <v>0</v>
      </c>
      <c r="J48" s="202">
        <f t="shared" si="3"/>
        <v>0</v>
      </c>
      <c r="K48" s="205" t="s">
        <v>53</v>
      </c>
      <c r="L48" s="207" t="s">
        <v>57</v>
      </c>
      <c r="M48" s="202"/>
    </row>
    <row r="49" spans="1:13" ht="110" x14ac:dyDescent="0.55000000000000004">
      <c r="A49" s="206" t="s">
        <v>89</v>
      </c>
      <c r="B49" s="205" t="s">
        <v>119</v>
      </c>
      <c r="C49" s="205" t="s">
        <v>20</v>
      </c>
      <c r="D49" s="205">
        <v>200</v>
      </c>
      <c r="E49" s="205">
        <v>284.7</v>
      </c>
      <c r="F49" s="205">
        <v>470</v>
      </c>
      <c r="G49" s="205">
        <v>0.2</v>
      </c>
      <c r="H49" s="202">
        <f t="shared" si="2"/>
        <v>26761.800000000003</v>
      </c>
      <c r="I49" s="205">
        <v>1.6</v>
      </c>
      <c r="J49" s="202">
        <f t="shared" si="3"/>
        <v>214094.40000000002</v>
      </c>
      <c r="K49" s="205" t="s">
        <v>53</v>
      </c>
      <c r="L49" s="207" t="s">
        <v>54</v>
      </c>
      <c r="M49" s="202"/>
    </row>
    <row r="50" spans="1:13" ht="110" x14ac:dyDescent="0.55000000000000004">
      <c r="A50" s="206" t="s">
        <v>79</v>
      </c>
      <c r="B50" s="205" t="s">
        <v>119</v>
      </c>
      <c r="C50" s="205" t="s">
        <v>15</v>
      </c>
      <c r="D50" s="205">
        <v>15</v>
      </c>
      <c r="E50" s="205">
        <v>22.4</v>
      </c>
      <c r="F50" s="205">
        <v>875</v>
      </c>
      <c r="G50" s="205">
        <v>0.28000000000000003</v>
      </c>
      <c r="H50" s="202">
        <f t="shared" si="2"/>
        <v>5488.0000000000009</v>
      </c>
      <c r="I50" s="205">
        <v>0</v>
      </c>
      <c r="J50" s="202">
        <f t="shared" si="3"/>
        <v>0</v>
      </c>
      <c r="K50" s="205" t="s">
        <v>53</v>
      </c>
      <c r="L50" s="207" t="s">
        <v>54</v>
      </c>
      <c r="M50" s="202"/>
    </row>
    <row r="51" spans="1:13" ht="110" x14ac:dyDescent="0.55000000000000004">
      <c r="A51" s="206" t="s">
        <v>101</v>
      </c>
      <c r="B51" s="205" t="s">
        <v>119</v>
      </c>
      <c r="C51" s="205" t="s">
        <v>4</v>
      </c>
      <c r="D51" s="205">
        <v>40</v>
      </c>
      <c r="E51" s="205">
        <v>57.8</v>
      </c>
      <c r="F51" s="205">
        <v>2353</v>
      </c>
      <c r="G51" s="205">
        <v>0.12</v>
      </c>
      <c r="H51" s="202">
        <f t="shared" si="2"/>
        <v>16320.407999999999</v>
      </c>
      <c r="I51" s="205">
        <v>0</v>
      </c>
      <c r="J51" s="202">
        <f t="shared" si="3"/>
        <v>0</v>
      </c>
      <c r="K51" s="205" t="s">
        <v>53</v>
      </c>
      <c r="L51" s="207" t="s">
        <v>57</v>
      </c>
      <c r="M51" s="202"/>
    </row>
    <row r="52" spans="1:13" ht="110" x14ac:dyDescent="0.55000000000000004">
      <c r="A52" s="206" t="s">
        <v>64</v>
      </c>
      <c r="B52" s="205" t="s">
        <v>119</v>
      </c>
      <c r="C52" s="205" t="s">
        <v>66</v>
      </c>
      <c r="D52" s="205">
        <v>25</v>
      </c>
      <c r="E52" s="205">
        <v>35.4</v>
      </c>
      <c r="F52" s="205">
        <v>0</v>
      </c>
      <c r="G52" s="205">
        <v>0</v>
      </c>
      <c r="H52" s="202">
        <f t="shared" si="2"/>
        <v>0</v>
      </c>
      <c r="I52" s="205">
        <v>0</v>
      </c>
      <c r="J52" s="202">
        <f t="shared" si="3"/>
        <v>0</v>
      </c>
      <c r="K52" s="205" t="s">
        <v>53</v>
      </c>
      <c r="L52" s="207" t="s">
        <v>54</v>
      </c>
      <c r="M52" s="202"/>
    </row>
    <row r="53" spans="1:13" ht="110" x14ac:dyDescent="0.55000000000000004">
      <c r="A53" s="206" t="s">
        <v>64</v>
      </c>
      <c r="B53" s="205" t="s">
        <v>119</v>
      </c>
      <c r="C53" s="205" t="s">
        <v>66</v>
      </c>
      <c r="D53" s="205">
        <v>48</v>
      </c>
      <c r="E53" s="205">
        <v>69</v>
      </c>
      <c r="F53" s="205">
        <v>0</v>
      </c>
      <c r="G53" s="205">
        <v>0</v>
      </c>
      <c r="H53" s="202">
        <f t="shared" si="2"/>
        <v>0</v>
      </c>
      <c r="I53" s="205">
        <v>0</v>
      </c>
      <c r="J53" s="202">
        <f t="shared" si="3"/>
        <v>0</v>
      </c>
      <c r="K53" s="205" t="s">
        <v>53</v>
      </c>
      <c r="L53" s="207" t="s">
        <v>54</v>
      </c>
      <c r="M53" s="202"/>
    </row>
    <row r="54" spans="1:13" ht="110" x14ac:dyDescent="0.55000000000000004">
      <c r="A54" s="206" t="s">
        <v>121</v>
      </c>
      <c r="B54" s="205" t="s">
        <v>119</v>
      </c>
      <c r="C54" s="205" t="s">
        <v>13</v>
      </c>
      <c r="D54" s="205">
        <v>50</v>
      </c>
      <c r="E54" s="205">
        <v>70</v>
      </c>
      <c r="F54" s="205">
        <v>1000</v>
      </c>
      <c r="G54" s="205">
        <v>0.05</v>
      </c>
      <c r="H54" s="202">
        <f t="shared" si="2"/>
        <v>3500</v>
      </c>
      <c r="I54" s="205">
        <v>0</v>
      </c>
      <c r="J54" s="202">
        <f t="shared" si="3"/>
        <v>0</v>
      </c>
      <c r="K54" s="205" t="s">
        <v>53</v>
      </c>
      <c r="L54" s="207" t="s">
        <v>57</v>
      </c>
      <c r="M54" s="202"/>
    </row>
    <row r="55" spans="1:13" ht="55" x14ac:dyDescent="0.55000000000000004">
      <c r="A55" s="206" t="s">
        <v>90</v>
      </c>
      <c r="B55" s="205" t="s">
        <v>91</v>
      </c>
      <c r="C55" s="205" t="s">
        <v>22</v>
      </c>
      <c r="D55" s="205">
        <v>25</v>
      </c>
      <c r="E55" s="205">
        <v>14.8</v>
      </c>
      <c r="F55" s="205">
        <v>474</v>
      </c>
      <c r="G55" s="205">
        <v>0.09</v>
      </c>
      <c r="H55" s="202">
        <f t="shared" si="2"/>
        <v>631.36800000000005</v>
      </c>
      <c r="I55" s="205">
        <v>1.6</v>
      </c>
      <c r="J55" s="202">
        <f t="shared" si="3"/>
        <v>11224.320000000002</v>
      </c>
      <c r="K55" s="205" t="s">
        <v>53</v>
      </c>
      <c r="L55" s="207" t="s">
        <v>54</v>
      </c>
      <c r="M55" s="202"/>
    </row>
    <row r="56" spans="1:13" ht="55" x14ac:dyDescent="0.55000000000000004">
      <c r="A56" s="206" t="s">
        <v>94</v>
      </c>
      <c r="B56" s="205" t="s">
        <v>91</v>
      </c>
      <c r="C56" s="205" t="s">
        <v>28</v>
      </c>
      <c r="D56" s="205">
        <v>2</v>
      </c>
      <c r="E56" s="205">
        <v>1.2</v>
      </c>
      <c r="F56" s="205">
        <v>7850</v>
      </c>
      <c r="G56" s="205">
        <v>3.1</v>
      </c>
      <c r="H56" s="202">
        <f t="shared" si="2"/>
        <v>29202</v>
      </c>
      <c r="I56" s="205">
        <v>0</v>
      </c>
      <c r="J56" s="202">
        <f t="shared" si="3"/>
        <v>0</v>
      </c>
      <c r="K56" s="205" t="s">
        <v>53</v>
      </c>
      <c r="L56" s="207" t="s">
        <v>54</v>
      </c>
      <c r="M56" s="202"/>
    </row>
    <row r="57" spans="1:13" ht="110" x14ac:dyDescent="0.55000000000000004">
      <c r="A57" s="206" t="s">
        <v>50</v>
      </c>
      <c r="B57" s="205" t="s">
        <v>88</v>
      </c>
      <c r="C57" s="205" t="s">
        <v>52</v>
      </c>
      <c r="D57" s="205">
        <v>140</v>
      </c>
      <c r="E57" s="205">
        <v>8.3000000000000007</v>
      </c>
      <c r="F57" s="205">
        <v>61</v>
      </c>
      <c r="G57" s="205">
        <v>1.5</v>
      </c>
      <c r="H57" s="202">
        <f t="shared" si="2"/>
        <v>759.45</v>
      </c>
      <c r="I57" s="205">
        <v>0</v>
      </c>
      <c r="J57" s="202">
        <f t="shared" si="3"/>
        <v>0</v>
      </c>
      <c r="K57" s="205" t="s">
        <v>53</v>
      </c>
      <c r="L57" s="207" t="s">
        <v>54</v>
      </c>
      <c r="M57" s="202"/>
    </row>
    <row r="58" spans="1:13" ht="110" x14ac:dyDescent="0.55000000000000004">
      <c r="A58" s="206" t="s">
        <v>55</v>
      </c>
      <c r="B58" s="205" t="s">
        <v>88</v>
      </c>
      <c r="C58" s="205" t="s">
        <v>56</v>
      </c>
      <c r="D58" s="205">
        <v>100</v>
      </c>
      <c r="E58" s="205">
        <v>6</v>
      </c>
      <c r="F58" s="205">
        <v>2363</v>
      </c>
      <c r="G58" s="205">
        <v>0.14000000000000001</v>
      </c>
      <c r="H58" s="202">
        <f t="shared" si="2"/>
        <v>1984.9200000000003</v>
      </c>
      <c r="I58" s="205">
        <v>0</v>
      </c>
      <c r="J58" s="202">
        <f t="shared" si="3"/>
        <v>0</v>
      </c>
      <c r="K58" s="205" t="s">
        <v>53</v>
      </c>
      <c r="L58" s="207" t="s">
        <v>57</v>
      </c>
      <c r="M58" s="202"/>
    </row>
    <row r="59" spans="1:13" ht="110" x14ac:dyDescent="0.55000000000000004">
      <c r="A59" s="206" t="s">
        <v>58</v>
      </c>
      <c r="B59" s="205" t="s">
        <v>88</v>
      </c>
      <c r="C59" s="205" t="s">
        <v>32</v>
      </c>
      <c r="D59" s="205">
        <v>300</v>
      </c>
      <c r="E59" s="205">
        <v>16.5</v>
      </c>
      <c r="F59" s="205">
        <v>2400</v>
      </c>
      <c r="G59" s="205">
        <v>0.19</v>
      </c>
      <c r="H59" s="202">
        <f t="shared" si="2"/>
        <v>7524</v>
      </c>
      <c r="I59" s="205">
        <v>0</v>
      </c>
      <c r="J59" s="202">
        <f t="shared" si="3"/>
        <v>0</v>
      </c>
      <c r="K59" s="205" t="s">
        <v>53</v>
      </c>
      <c r="L59" s="207" t="s">
        <v>54</v>
      </c>
      <c r="M59" s="202"/>
    </row>
    <row r="60" spans="1:13" ht="110" x14ac:dyDescent="0.55000000000000004">
      <c r="A60" s="206" t="s">
        <v>50</v>
      </c>
      <c r="B60" s="205" t="s">
        <v>51</v>
      </c>
      <c r="C60" s="205" t="s">
        <v>52</v>
      </c>
      <c r="D60" s="205">
        <v>250</v>
      </c>
      <c r="E60" s="205">
        <v>0</v>
      </c>
      <c r="F60" s="205">
        <v>61</v>
      </c>
      <c r="G60" s="205">
        <v>1.5</v>
      </c>
      <c r="H60" s="202">
        <f t="shared" si="2"/>
        <v>0</v>
      </c>
      <c r="I60" s="205">
        <v>0</v>
      </c>
      <c r="J60" s="202">
        <f t="shared" si="3"/>
        <v>0</v>
      </c>
      <c r="K60" s="205" t="s">
        <v>53</v>
      </c>
      <c r="L60" s="207" t="s">
        <v>54</v>
      </c>
      <c r="M60" s="202"/>
    </row>
    <row r="61" spans="1:13" ht="110" x14ac:dyDescent="0.55000000000000004">
      <c r="A61" s="206" t="s">
        <v>55</v>
      </c>
      <c r="B61" s="205" t="s">
        <v>51</v>
      </c>
      <c r="C61" s="205" t="s">
        <v>56</v>
      </c>
      <c r="D61" s="205">
        <v>70</v>
      </c>
      <c r="E61" s="205">
        <v>0</v>
      </c>
      <c r="F61" s="205">
        <v>2363</v>
      </c>
      <c r="G61" s="205">
        <v>0.14000000000000001</v>
      </c>
      <c r="H61" s="202">
        <f t="shared" si="2"/>
        <v>0</v>
      </c>
      <c r="I61" s="205">
        <v>0</v>
      </c>
      <c r="J61" s="202">
        <f t="shared" si="3"/>
        <v>0</v>
      </c>
      <c r="K61" s="205" t="s">
        <v>53</v>
      </c>
      <c r="L61" s="207" t="s">
        <v>57</v>
      </c>
      <c r="M61" s="202"/>
    </row>
    <row r="62" spans="1:13" ht="110" x14ac:dyDescent="0.55000000000000004">
      <c r="A62" s="206" t="s">
        <v>58</v>
      </c>
      <c r="B62" s="205" t="s">
        <v>51</v>
      </c>
      <c r="C62" s="205" t="s">
        <v>32</v>
      </c>
      <c r="D62" s="205">
        <v>150</v>
      </c>
      <c r="E62" s="205">
        <v>0</v>
      </c>
      <c r="F62" s="205">
        <v>2400</v>
      </c>
      <c r="G62" s="205">
        <v>0.19</v>
      </c>
      <c r="H62" s="202">
        <f t="shared" si="2"/>
        <v>0</v>
      </c>
      <c r="I62" s="205">
        <v>0</v>
      </c>
      <c r="J62" s="202">
        <f t="shared" si="3"/>
        <v>0</v>
      </c>
      <c r="K62" s="205" t="s">
        <v>53</v>
      </c>
      <c r="L62" s="207" t="s">
        <v>54</v>
      </c>
      <c r="M62" s="202"/>
    </row>
    <row r="63" spans="1:13" ht="82.5" x14ac:dyDescent="0.55000000000000004">
      <c r="A63" s="206" t="s">
        <v>70</v>
      </c>
      <c r="B63" s="205" t="s">
        <v>60</v>
      </c>
      <c r="C63" s="205" t="s">
        <v>71</v>
      </c>
      <c r="D63" s="205">
        <v>25</v>
      </c>
      <c r="E63" s="205">
        <v>1.4</v>
      </c>
      <c r="F63" s="205">
        <v>60</v>
      </c>
      <c r="G63" s="205">
        <v>1.02</v>
      </c>
      <c r="H63" s="202">
        <f t="shared" si="2"/>
        <v>85.68</v>
      </c>
      <c r="I63" s="205">
        <v>1.1000000000000001</v>
      </c>
      <c r="J63" s="202">
        <f t="shared" si="3"/>
        <v>92.4</v>
      </c>
      <c r="K63" s="205" t="s">
        <v>53</v>
      </c>
      <c r="L63" s="207" t="s">
        <v>54</v>
      </c>
      <c r="M63" s="202"/>
    </row>
    <row r="64" spans="1:13" ht="82.5" x14ac:dyDescent="0.55000000000000004">
      <c r="A64" s="206" t="s">
        <v>59</v>
      </c>
      <c r="B64" s="205" t="s">
        <v>60</v>
      </c>
      <c r="C64" s="205" t="s">
        <v>61</v>
      </c>
      <c r="D64" s="205">
        <v>32</v>
      </c>
      <c r="E64" s="205">
        <v>1.8</v>
      </c>
      <c r="F64" s="205">
        <v>0</v>
      </c>
      <c r="G64" s="205">
        <v>0</v>
      </c>
      <c r="H64" s="202">
        <f t="shared" si="2"/>
        <v>0</v>
      </c>
      <c r="I64" s="205">
        <v>0</v>
      </c>
      <c r="J64" s="202">
        <f t="shared" si="3"/>
        <v>0</v>
      </c>
      <c r="K64" s="205" t="s">
        <v>53</v>
      </c>
      <c r="L64" s="207" t="s">
        <v>57</v>
      </c>
      <c r="M64" s="202"/>
    </row>
    <row r="65" spans="1:14" ht="82.5" x14ac:dyDescent="0.55000000000000004">
      <c r="A65" s="206" t="s">
        <v>78</v>
      </c>
      <c r="B65" s="205" t="s">
        <v>60</v>
      </c>
      <c r="C65" s="205" t="s">
        <v>26</v>
      </c>
      <c r="D65" s="205">
        <v>28</v>
      </c>
      <c r="E65" s="205">
        <v>1.6</v>
      </c>
      <c r="F65" s="205">
        <v>474</v>
      </c>
      <c r="G65" s="205">
        <v>0.09</v>
      </c>
      <c r="H65" s="202">
        <f t="shared" si="2"/>
        <v>68.256</v>
      </c>
      <c r="I65" s="205">
        <v>1.6</v>
      </c>
      <c r="J65" s="202">
        <f t="shared" si="3"/>
        <v>1213.4400000000003</v>
      </c>
      <c r="K65" s="205" t="s">
        <v>53</v>
      </c>
      <c r="L65" s="207" t="s">
        <v>57</v>
      </c>
      <c r="M65" s="202"/>
    </row>
    <row r="66" spans="1:14" ht="110" x14ac:dyDescent="0.55000000000000004">
      <c r="A66" s="206" t="s">
        <v>50</v>
      </c>
      <c r="B66" s="205" t="s">
        <v>67</v>
      </c>
      <c r="C66" s="205" t="s">
        <v>52</v>
      </c>
      <c r="D66" s="205">
        <v>220</v>
      </c>
      <c r="E66" s="205">
        <v>237</v>
      </c>
      <c r="F66" s="205">
        <v>61</v>
      </c>
      <c r="G66" s="205">
        <v>1.5</v>
      </c>
      <c r="H66" s="202">
        <f t="shared" si="2"/>
        <v>21685.5</v>
      </c>
      <c r="I66" s="205">
        <v>0</v>
      </c>
      <c r="J66" s="202">
        <f t="shared" si="3"/>
        <v>0</v>
      </c>
      <c r="K66" s="205" t="s">
        <v>53</v>
      </c>
      <c r="L66" s="207" t="s">
        <v>54</v>
      </c>
      <c r="M66" s="202"/>
    </row>
    <row r="67" spans="1:14" ht="110" x14ac:dyDescent="0.55000000000000004">
      <c r="A67" s="206" t="s">
        <v>89</v>
      </c>
      <c r="B67" s="205" t="s">
        <v>67</v>
      </c>
      <c r="C67" s="205" t="s">
        <v>20</v>
      </c>
      <c r="D67" s="205">
        <v>80</v>
      </c>
      <c r="E67" s="205">
        <v>84.5</v>
      </c>
      <c r="F67" s="205">
        <v>470</v>
      </c>
      <c r="G67" s="205">
        <v>0.2</v>
      </c>
      <c r="H67" s="202">
        <f t="shared" si="2"/>
        <v>7943</v>
      </c>
      <c r="I67" s="205">
        <v>1.6</v>
      </c>
      <c r="J67" s="202">
        <f t="shared" si="3"/>
        <v>63544</v>
      </c>
      <c r="K67" s="205" t="s">
        <v>53</v>
      </c>
      <c r="L67" s="207" t="s">
        <v>54</v>
      </c>
      <c r="M67" s="202"/>
    </row>
    <row r="68" spans="1:14" ht="110" x14ac:dyDescent="0.55000000000000004">
      <c r="A68" s="206" t="s">
        <v>59</v>
      </c>
      <c r="B68" s="205" t="s">
        <v>67</v>
      </c>
      <c r="C68" s="205" t="s">
        <v>61</v>
      </c>
      <c r="D68" s="205">
        <v>32</v>
      </c>
      <c r="E68" s="205">
        <v>34.5</v>
      </c>
      <c r="F68" s="205">
        <v>0</v>
      </c>
      <c r="G68" s="205">
        <v>0</v>
      </c>
      <c r="H68" s="202">
        <f t="shared" si="2"/>
        <v>0</v>
      </c>
      <c r="I68" s="205">
        <v>0</v>
      </c>
      <c r="J68" s="202">
        <f t="shared" si="3"/>
        <v>0</v>
      </c>
      <c r="K68" s="205" t="s">
        <v>53</v>
      </c>
      <c r="L68" s="207" t="s">
        <v>57</v>
      </c>
      <c r="M68" s="202"/>
    </row>
    <row r="69" spans="1:14" ht="110" x14ac:dyDescent="0.55000000000000004">
      <c r="A69" s="206" t="s">
        <v>79</v>
      </c>
      <c r="B69" s="205" t="s">
        <v>67</v>
      </c>
      <c r="C69" s="205" t="s">
        <v>15</v>
      </c>
      <c r="D69" s="205">
        <v>15</v>
      </c>
      <c r="E69" s="205">
        <v>12.4</v>
      </c>
      <c r="F69" s="205">
        <v>875</v>
      </c>
      <c r="G69" s="205">
        <v>0.28000000000000003</v>
      </c>
      <c r="H69" s="202">
        <f t="shared" si="2"/>
        <v>3038.0000000000005</v>
      </c>
      <c r="I69" s="205">
        <v>0</v>
      </c>
      <c r="J69" s="202">
        <f t="shared" si="3"/>
        <v>0</v>
      </c>
      <c r="K69" s="205" t="s">
        <v>53</v>
      </c>
      <c r="L69" s="207" t="s">
        <v>57</v>
      </c>
      <c r="M69" s="202"/>
    </row>
    <row r="70" spans="1:14" ht="110" x14ac:dyDescent="0.55000000000000004">
      <c r="A70" s="206" t="s">
        <v>78</v>
      </c>
      <c r="B70" s="205" t="s">
        <v>67</v>
      </c>
      <c r="C70" s="205" t="s">
        <v>26</v>
      </c>
      <c r="D70" s="205">
        <v>28</v>
      </c>
      <c r="E70" s="205">
        <v>31</v>
      </c>
      <c r="F70" s="205">
        <v>474</v>
      </c>
      <c r="G70" s="205">
        <v>0.09</v>
      </c>
      <c r="H70" s="202">
        <f t="shared" ref="H70:H82" si="4">(F70*E70)*G70</f>
        <v>1322.46</v>
      </c>
      <c r="I70" s="205">
        <v>1.6</v>
      </c>
      <c r="J70" s="202">
        <f t="shared" ref="J70:J82" si="5">(F70*E70)*I70</f>
        <v>23510.400000000001</v>
      </c>
      <c r="K70" s="205" t="s">
        <v>53</v>
      </c>
      <c r="L70" s="207" t="s">
        <v>57</v>
      </c>
      <c r="M70" s="202"/>
    </row>
    <row r="71" spans="1:14" ht="110" x14ac:dyDescent="0.55000000000000004">
      <c r="A71" s="206" t="s">
        <v>95</v>
      </c>
      <c r="B71" s="205" t="s">
        <v>106</v>
      </c>
      <c r="C71" s="205" t="s">
        <v>30</v>
      </c>
      <c r="D71" s="205">
        <v>440</v>
      </c>
      <c r="E71" s="205">
        <v>31.6</v>
      </c>
      <c r="F71" s="205">
        <v>2375</v>
      </c>
      <c r="G71" s="205">
        <v>0.15</v>
      </c>
      <c r="H71" s="202">
        <f t="shared" si="4"/>
        <v>11257.5</v>
      </c>
      <c r="I71" s="205">
        <v>0</v>
      </c>
      <c r="J71" s="202">
        <f t="shared" si="5"/>
        <v>0</v>
      </c>
      <c r="K71" s="205" t="s">
        <v>53</v>
      </c>
      <c r="L71" s="207" t="s">
        <v>54</v>
      </c>
      <c r="M71" s="202"/>
    </row>
    <row r="72" spans="1:14" ht="82.5" x14ac:dyDescent="0.55000000000000004">
      <c r="A72" s="206" t="s">
        <v>72</v>
      </c>
      <c r="B72" s="205" t="s">
        <v>77</v>
      </c>
      <c r="C72" s="205" t="s">
        <v>74</v>
      </c>
      <c r="D72" s="205">
        <v>140</v>
      </c>
      <c r="E72" s="205">
        <v>37.6</v>
      </c>
      <c r="F72" s="205">
        <v>16</v>
      </c>
      <c r="G72" s="205">
        <v>3.5</v>
      </c>
      <c r="H72" s="202">
        <f t="shared" si="4"/>
        <v>2105.6</v>
      </c>
      <c r="I72" s="205">
        <v>0</v>
      </c>
      <c r="J72" s="202">
        <f t="shared" si="5"/>
        <v>0</v>
      </c>
      <c r="K72" s="205" t="s">
        <v>53</v>
      </c>
      <c r="L72" s="207" t="s">
        <v>54</v>
      </c>
      <c r="M72" s="202"/>
    </row>
    <row r="73" spans="1:14" ht="110" x14ac:dyDescent="0.55000000000000004">
      <c r="A73" s="206" t="s">
        <v>95</v>
      </c>
      <c r="B73" s="205" t="s">
        <v>77</v>
      </c>
      <c r="C73" s="205" t="s">
        <v>30</v>
      </c>
      <c r="D73" s="205">
        <v>100</v>
      </c>
      <c r="E73" s="205">
        <v>27.1</v>
      </c>
      <c r="F73" s="205">
        <v>2375</v>
      </c>
      <c r="G73" s="205">
        <v>0.15</v>
      </c>
      <c r="H73" s="202">
        <f t="shared" si="4"/>
        <v>9654.375</v>
      </c>
      <c r="I73" s="205">
        <v>0</v>
      </c>
      <c r="J73" s="202">
        <f t="shared" si="5"/>
        <v>0</v>
      </c>
      <c r="K73" s="205" t="s">
        <v>53</v>
      </c>
      <c r="L73" s="207" t="s">
        <v>54</v>
      </c>
      <c r="M73" s="202"/>
    </row>
    <row r="74" spans="1:14" ht="110" x14ac:dyDescent="0.55000000000000004">
      <c r="A74" s="206" t="s">
        <v>95</v>
      </c>
      <c r="B74" s="205" t="s">
        <v>77</v>
      </c>
      <c r="C74" s="205" t="s">
        <v>30</v>
      </c>
      <c r="D74" s="205">
        <v>200</v>
      </c>
      <c r="E74" s="205">
        <v>52.9</v>
      </c>
      <c r="F74" s="205">
        <v>2375</v>
      </c>
      <c r="G74" s="205">
        <v>0.15</v>
      </c>
      <c r="H74" s="202">
        <f t="shared" si="4"/>
        <v>18845.625</v>
      </c>
      <c r="I74" s="205">
        <v>0</v>
      </c>
      <c r="J74" s="202">
        <f t="shared" si="5"/>
        <v>0</v>
      </c>
      <c r="K74" s="205" t="s">
        <v>53</v>
      </c>
      <c r="L74" s="207" t="s">
        <v>54</v>
      </c>
      <c r="M74" s="202"/>
    </row>
    <row r="75" spans="1:14" ht="110" x14ac:dyDescent="0.55000000000000004">
      <c r="A75" s="206" t="s">
        <v>95</v>
      </c>
      <c r="B75" s="205" t="s">
        <v>107</v>
      </c>
      <c r="C75" s="205" t="s">
        <v>31</v>
      </c>
      <c r="D75" s="205">
        <v>270</v>
      </c>
      <c r="E75" s="205">
        <v>89</v>
      </c>
      <c r="F75" s="205">
        <v>1410</v>
      </c>
      <c r="G75" s="205">
        <v>0.17</v>
      </c>
      <c r="H75" s="202">
        <f t="shared" si="4"/>
        <v>21333.300000000003</v>
      </c>
      <c r="I75" s="205">
        <v>0</v>
      </c>
      <c r="J75" s="202">
        <f t="shared" si="5"/>
        <v>0</v>
      </c>
      <c r="K75" s="205" t="s">
        <v>53</v>
      </c>
      <c r="L75" s="207" t="s">
        <v>54</v>
      </c>
      <c r="M75" s="202"/>
    </row>
    <row r="76" spans="1:14" ht="82.5" x14ac:dyDescent="0.55000000000000004">
      <c r="A76" s="206" t="s">
        <v>72</v>
      </c>
      <c r="B76" s="205" t="s">
        <v>73</v>
      </c>
      <c r="C76" s="205" t="s">
        <v>74</v>
      </c>
      <c r="D76" s="205">
        <v>250</v>
      </c>
      <c r="E76" s="205">
        <v>13.9</v>
      </c>
      <c r="F76" s="205">
        <v>16</v>
      </c>
      <c r="G76" s="205">
        <v>3.5</v>
      </c>
      <c r="H76" s="202">
        <f t="shared" si="4"/>
        <v>778.4</v>
      </c>
      <c r="I76" s="205">
        <v>0</v>
      </c>
      <c r="J76" s="202">
        <f t="shared" si="5"/>
        <v>0</v>
      </c>
      <c r="K76" s="205" t="s">
        <v>53</v>
      </c>
      <c r="L76" s="207" t="s">
        <v>54</v>
      </c>
      <c r="M76" s="202"/>
    </row>
    <row r="77" spans="1:14" ht="82.5" x14ac:dyDescent="0.55000000000000004">
      <c r="A77" s="206" t="s">
        <v>55</v>
      </c>
      <c r="B77" s="205" t="s">
        <v>73</v>
      </c>
      <c r="C77" s="205" t="s">
        <v>56</v>
      </c>
      <c r="D77" s="205">
        <v>150</v>
      </c>
      <c r="E77" s="205">
        <v>8.3000000000000007</v>
      </c>
      <c r="F77" s="205">
        <v>2363</v>
      </c>
      <c r="G77" s="205">
        <v>0.14000000000000001</v>
      </c>
      <c r="H77" s="202">
        <f t="shared" si="4"/>
        <v>2745.8060000000005</v>
      </c>
      <c r="I77" s="205">
        <v>0</v>
      </c>
      <c r="J77" s="202">
        <f t="shared" si="5"/>
        <v>0</v>
      </c>
      <c r="K77" s="205" t="s">
        <v>53</v>
      </c>
      <c r="L77" s="207" t="s">
        <v>57</v>
      </c>
      <c r="M77" s="202"/>
    </row>
    <row r="78" spans="1:14" ht="82.5" x14ac:dyDescent="0.55000000000000004">
      <c r="A78" s="206" t="s">
        <v>72</v>
      </c>
      <c r="B78" s="205" t="s">
        <v>84</v>
      </c>
      <c r="C78" s="205" t="s">
        <v>74</v>
      </c>
      <c r="D78" s="205">
        <v>300</v>
      </c>
      <c r="E78" s="205">
        <v>104.5</v>
      </c>
      <c r="F78" s="205">
        <v>16</v>
      </c>
      <c r="G78" s="205">
        <v>3.5</v>
      </c>
      <c r="H78" s="202">
        <f t="shared" si="4"/>
        <v>5852</v>
      </c>
      <c r="I78" s="205">
        <v>0</v>
      </c>
      <c r="J78" s="202">
        <f t="shared" si="5"/>
        <v>0</v>
      </c>
      <c r="K78" s="205" t="s">
        <v>53</v>
      </c>
      <c r="L78" s="207" t="s">
        <v>54</v>
      </c>
      <c r="M78" s="202"/>
    </row>
    <row r="79" spans="1:14" ht="82.5" x14ac:dyDescent="0.55000000000000004">
      <c r="A79" s="206" t="s">
        <v>55</v>
      </c>
      <c r="B79" s="205" t="s">
        <v>84</v>
      </c>
      <c r="C79" s="205" t="s">
        <v>56</v>
      </c>
      <c r="D79" s="205">
        <v>100</v>
      </c>
      <c r="E79" s="205">
        <v>34.700000000000003</v>
      </c>
      <c r="F79" s="205">
        <v>2363</v>
      </c>
      <c r="G79" s="205">
        <v>0.14000000000000001</v>
      </c>
      <c r="H79" s="202">
        <f t="shared" si="4"/>
        <v>11479.454000000002</v>
      </c>
      <c r="I79" s="205">
        <v>0</v>
      </c>
      <c r="J79" s="202">
        <f t="shared" si="5"/>
        <v>0</v>
      </c>
      <c r="K79" s="205" t="s">
        <v>53</v>
      </c>
      <c r="L79" s="207" t="s">
        <v>57</v>
      </c>
      <c r="M79" s="202"/>
      <c r="N79" s="49" t="s">
        <v>351</v>
      </c>
    </row>
    <row r="80" spans="1:14" ht="110" x14ac:dyDescent="0.55000000000000004">
      <c r="A80" s="206" t="s">
        <v>58</v>
      </c>
      <c r="B80" s="205" t="s">
        <v>82</v>
      </c>
      <c r="C80" s="205" t="s">
        <v>32</v>
      </c>
      <c r="D80" s="205">
        <v>540</v>
      </c>
      <c r="E80" s="205">
        <v>17.600000000000001</v>
      </c>
      <c r="F80" s="205">
        <v>2400</v>
      </c>
      <c r="G80" s="205">
        <v>0.19</v>
      </c>
      <c r="H80" s="202">
        <f t="shared" si="4"/>
        <v>8025.6</v>
      </c>
      <c r="I80" s="205">
        <v>0</v>
      </c>
      <c r="J80" s="202">
        <f t="shared" si="5"/>
        <v>0</v>
      </c>
      <c r="K80" s="205" t="s">
        <v>53</v>
      </c>
      <c r="L80" s="207" t="s">
        <v>54</v>
      </c>
      <c r="M80" s="202"/>
    </row>
    <row r="81" spans="1:13" ht="110" x14ac:dyDescent="0.55000000000000004">
      <c r="A81" s="206" t="s">
        <v>58</v>
      </c>
      <c r="B81" s="205" t="s">
        <v>82</v>
      </c>
      <c r="C81" s="205" t="s">
        <v>32</v>
      </c>
      <c r="D81" s="205">
        <v>740</v>
      </c>
      <c r="E81" s="205">
        <v>20.399999999999999</v>
      </c>
      <c r="F81" s="205">
        <v>2400</v>
      </c>
      <c r="G81" s="205">
        <v>0.19</v>
      </c>
      <c r="H81" s="202">
        <f t="shared" si="4"/>
        <v>9302.4</v>
      </c>
      <c r="I81" s="205">
        <v>0</v>
      </c>
      <c r="J81" s="202">
        <f t="shared" si="5"/>
        <v>0</v>
      </c>
      <c r="K81" s="205" t="s">
        <v>53</v>
      </c>
      <c r="L81" s="207" t="s">
        <v>54</v>
      </c>
      <c r="M81" s="202"/>
    </row>
    <row r="82" spans="1:13" ht="55" x14ac:dyDescent="0.55000000000000004">
      <c r="A82" s="206" t="s">
        <v>81</v>
      </c>
      <c r="B82" s="205" t="s">
        <v>82</v>
      </c>
      <c r="C82" s="205" t="s">
        <v>18</v>
      </c>
      <c r="D82" s="205">
        <v>5</v>
      </c>
      <c r="E82" s="205">
        <v>0</v>
      </c>
      <c r="F82" s="205">
        <v>1620</v>
      </c>
      <c r="G82" s="205">
        <v>0.16</v>
      </c>
      <c r="H82" s="202">
        <f t="shared" si="4"/>
        <v>0</v>
      </c>
      <c r="I82" s="205">
        <v>0</v>
      </c>
      <c r="J82" s="202">
        <f t="shared" si="5"/>
        <v>0</v>
      </c>
      <c r="K82" s="205" t="s">
        <v>53</v>
      </c>
      <c r="L82" s="207" t="s">
        <v>83</v>
      </c>
      <c r="M82" s="202"/>
    </row>
    <row r="83" spans="1:13" ht="27.5" x14ac:dyDescent="0.55000000000000004">
      <c r="A83" s="205" t="s">
        <v>109</v>
      </c>
      <c r="B83" s="205" t="s">
        <v>109</v>
      </c>
      <c r="C83" s="205" t="s">
        <v>109</v>
      </c>
      <c r="D83" s="205" t="s">
        <v>109</v>
      </c>
      <c r="E83" s="205"/>
      <c r="F83" s="205" t="s">
        <v>109</v>
      </c>
      <c r="G83" s="205"/>
      <c r="H83" s="209">
        <f>SUM(H6:H82)</f>
        <v>373726.51699999999</v>
      </c>
      <c r="I83" s="209"/>
      <c r="J83" s="209">
        <f t="shared" ref="J83" si="6">SUM(J6:J82)</f>
        <v>545896.56000000006</v>
      </c>
      <c r="K83" s="205" t="s">
        <v>109</v>
      </c>
      <c r="L83" s="205" t="s">
        <v>109</v>
      </c>
      <c r="M83" s="202"/>
    </row>
    <row r="84" spans="1:13" ht="24.5" x14ac:dyDescent="0.55000000000000004">
      <c r="A84" s="202"/>
      <c r="B84" s="202"/>
      <c r="C84" s="202"/>
      <c r="D84" s="202"/>
      <c r="E84" s="202"/>
      <c r="F84" s="202"/>
      <c r="G84" s="202"/>
      <c r="H84" s="202"/>
      <c r="I84" s="202"/>
      <c r="J84" s="202"/>
      <c r="K84" s="202"/>
      <c r="L84" s="202"/>
      <c r="M84" s="202"/>
    </row>
    <row r="85" spans="1:13" ht="24.5" x14ac:dyDescent="0.55000000000000004">
      <c r="A85" s="202"/>
      <c r="B85" s="202"/>
      <c r="C85" s="202"/>
      <c r="D85" s="202"/>
      <c r="E85" s="202"/>
      <c r="F85" s="202"/>
      <c r="G85" s="202"/>
      <c r="H85" s="202"/>
      <c r="I85" s="209">
        <f>H83-J83</f>
        <v>-172170.04300000006</v>
      </c>
      <c r="J85" s="202" t="s">
        <v>44</v>
      </c>
      <c r="K85" s="202"/>
      <c r="L85" s="202"/>
      <c r="M85" s="202"/>
    </row>
    <row r="86" spans="1:13" ht="24.5" x14ac:dyDescent="0.55000000000000004">
      <c r="A86" s="202"/>
      <c r="B86" s="202"/>
      <c r="C86" s="202"/>
      <c r="D86" s="202"/>
      <c r="E86" s="202"/>
      <c r="F86" s="202"/>
      <c r="G86" s="202"/>
      <c r="H86" s="202"/>
      <c r="I86" s="209">
        <f>I85/1000</f>
        <v>-172.17004300000005</v>
      </c>
      <c r="J86" s="202" t="s">
        <v>110</v>
      </c>
      <c r="K86" s="202"/>
      <c r="L86" s="202"/>
      <c r="M86" s="202"/>
    </row>
    <row r="87" spans="1:13" ht="24.5" x14ac:dyDescent="0.55000000000000004">
      <c r="A87" s="202"/>
      <c r="B87" s="202"/>
      <c r="C87" s="202"/>
      <c r="D87" s="202"/>
      <c r="E87" s="202"/>
      <c r="F87" s="202"/>
      <c r="G87" s="202"/>
      <c r="H87" s="202"/>
      <c r="I87" s="202"/>
      <c r="J87" s="202"/>
      <c r="K87" s="202"/>
      <c r="L87" s="202"/>
      <c r="M87" s="202"/>
    </row>
    <row r="88" spans="1:13" ht="24.5" x14ac:dyDescent="0.55000000000000004">
      <c r="A88" s="202"/>
      <c r="B88" s="202"/>
      <c r="C88" s="202"/>
      <c r="D88" s="202"/>
      <c r="E88" s="202"/>
      <c r="F88" s="202"/>
      <c r="G88" s="202"/>
      <c r="H88" s="202"/>
      <c r="I88" s="202"/>
      <c r="J88" s="202"/>
      <c r="K88" s="202"/>
      <c r="L88" s="202"/>
      <c r="M88" s="202"/>
    </row>
    <row r="89" spans="1:13" ht="24.5" x14ac:dyDescent="0.55000000000000004">
      <c r="A89" s="202"/>
      <c r="B89" s="202"/>
      <c r="C89" s="202"/>
      <c r="D89" s="202"/>
      <c r="E89" s="202"/>
      <c r="F89" s="202"/>
      <c r="G89" s="202"/>
      <c r="H89" s="202"/>
      <c r="I89" s="202"/>
      <c r="J89" s="202"/>
      <c r="K89" s="202"/>
      <c r="L89" s="202"/>
      <c r="M89" s="202"/>
    </row>
    <row r="90" spans="1:13" ht="24.5" x14ac:dyDescent="0.55000000000000004">
      <c r="A90" s="202"/>
      <c r="B90" s="202"/>
      <c r="C90" s="202"/>
      <c r="D90" s="202"/>
      <c r="E90" s="202"/>
      <c r="F90" s="202"/>
      <c r="G90" s="202"/>
      <c r="H90" s="202"/>
      <c r="I90" s="202"/>
      <c r="J90" s="202"/>
      <c r="K90" s="202"/>
      <c r="L90" s="202"/>
      <c r="M90" s="202"/>
    </row>
    <row r="91" spans="1:13" ht="24.5" x14ac:dyDescent="0.55000000000000004">
      <c r="A91" s="202"/>
      <c r="B91" s="202"/>
      <c r="C91" s="202"/>
      <c r="D91" s="202"/>
      <c r="E91" s="202"/>
      <c r="F91" s="202"/>
      <c r="G91" s="202"/>
      <c r="H91" s="202"/>
      <c r="I91" s="202"/>
      <c r="J91" s="202"/>
      <c r="K91" s="202"/>
      <c r="L91" s="202"/>
      <c r="M91" s="202"/>
    </row>
    <row r="92" spans="1:13" ht="24.5" x14ac:dyDescent="0.55000000000000004">
      <c r="A92" s="202"/>
      <c r="B92" s="202"/>
      <c r="C92" s="202"/>
      <c r="D92" s="202"/>
      <c r="E92" s="202"/>
      <c r="F92" s="202"/>
      <c r="G92" s="202"/>
      <c r="H92" s="202"/>
      <c r="I92" s="202"/>
      <c r="J92" s="202"/>
      <c r="K92" s="202"/>
      <c r="L92" s="202"/>
      <c r="M92" s="202"/>
    </row>
    <row r="93" spans="1:13" ht="24.5" x14ac:dyDescent="0.55000000000000004">
      <c r="A93" s="202"/>
      <c r="B93" s="202"/>
      <c r="C93" s="202"/>
      <c r="D93" s="202"/>
      <c r="E93" s="202"/>
      <c r="F93" s="202"/>
      <c r="G93" s="202"/>
      <c r="H93" s="202"/>
      <c r="I93" s="202"/>
      <c r="J93" s="202"/>
      <c r="K93" s="202"/>
      <c r="L93" s="202"/>
      <c r="M93" s="202"/>
    </row>
    <row r="94" spans="1:13" ht="24.5" x14ac:dyDescent="0.55000000000000004">
      <c r="A94" s="202"/>
      <c r="B94" s="202"/>
      <c r="C94" s="202"/>
      <c r="D94" s="202"/>
      <c r="E94" s="202"/>
      <c r="F94" s="202"/>
      <c r="G94" s="202"/>
      <c r="H94" s="202"/>
      <c r="I94" s="202"/>
      <c r="J94" s="202"/>
      <c r="K94" s="202"/>
      <c r="L94" s="202"/>
    </row>
  </sheetData>
  <sheetProtection algorithmName="SHA-512" hashValue="v3CM1UwkdXL6QpIZx2ubBN35iKYqApThyuwn9KYtwNTt6r4d3O18jJfihI/s9q9pcQesXBvbpEK+3cprsZSB6g==" saltValue="tk05WTi/IsoCElacYCYQNw==" spinCount="100000" sheet="1" objects="1" scenarios="1"/>
  <protectedRanges>
    <protectedRange sqref="A1:L86" name="Alue1"/>
  </protectedRanges>
  <mergeCells count="1">
    <mergeCell ref="A3:J3"/>
  </mergeCells>
  <conditionalFormatting sqref="I85:I86">
    <cfRule type="cellIs" dxfId="113" priority="1" operator="lessThan">
      <formula>0</formula>
    </cfRule>
    <cfRule type="cellIs" dxfId="112" priority="2" operator="greaterThan">
      <formula>0</formula>
    </cfRule>
  </conditionalFormatting>
  <pageMargins left="0.7" right="0.7" top="0.75" bottom="0.75" header="0.3" footer="0.3"/>
  <pageSetup paperSize="9" orientation="portrait" verticalDpi="0" r:id="rId1"/>
  <tableParts count="1">
    <tablePart r:id="rId2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727D86-0E27-4FCB-9E9B-8CD475F9D796}">
  <sheetPr codeName="Taul4"/>
  <dimension ref="A1:O165"/>
  <sheetViews>
    <sheetView topLeftCell="A91" zoomScale="50" zoomScaleNormal="50" workbookViewId="0">
      <selection sqref="A1:XFD1048576"/>
    </sheetView>
  </sheetViews>
  <sheetFormatPr defaultRowHeight="14.5" x14ac:dyDescent="0.35"/>
  <cols>
    <col min="1" max="1" width="17.26953125" style="49" customWidth="1"/>
    <col min="2" max="2" width="34.26953125" style="49" customWidth="1"/>
    <col min="3" max="3" width="23.7265625" style="49" bestFit="1" customWidth="1"/>
    <col min="4" max="4" width="22.453125" style="49" bestFit="1" customWidth="1"/>
    <col min="5" max="6" width="17.26953125" style="49" customWidth="1"/>
    <col min="7" max="7" width="18" style="49" bestFit="1" customWidth="1"/>
    <col min="8" max="8" width="18.453125" style="49" bestFit="1" customWidth="1"/>
    <col min="9" max="9" width="16.1796875" style="49" customWidth="1"/>
    <col min="10" max="10" width="19.1796875" style="49" customWidth="1"/>
    <col min="11" max="11" width="18" style="49" customWidth="1"/>
    <col min="12" max="13" width="19.1796875" style="49" customWidth="1"/>
    <col min="14" max="16384" width="8.7265625" style="49"/>
  </cols>
  <sheetData>
    <row r="1" spans="1:13" ht="24.5" x14ac:dyDescent="0.55000000000000004">
      <c r="A1" s="202" t="s">
        <v>345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</row>
    <row r="2" spans="1:13" ht="24.5" x14ac:dyDescent="0.55000000000000004">
      <c r="A2" s="202"/>
      <c r="B2" s="202"/>
      <c r="C2" s="202"/>
      <c r="D2" s="202"/>
      <c r="E2" s="202"/>
      <c r="F2" s="202"/>
      <c r="G2" s="202"/>
      <c r="H2" s="202"/>
      <c r="I2" s="202"/>
      <c r="J2" s="202"/>
      <c r="K2" s="202"/>
    </row>
    <row r="3" spans="1:13" ht="27.5" x14ac:dyDescent="0.35">
      <c r="A3" s="267" t="s">
        <v>266</v>
      </c>
      <c r="B3" s="267"/>
      <c r="C3" s="267"/>
      <c r="D3" s="267"/>
      <c r="E3" s="267"/>
      <c r="F3" s="267"/>
      <c r="G3" s="267"/>
      <c r="H3" s="267"/>
      <c r="I3" s="267"/>
      <c r="J3" s="267"/>
      <c r="K3" s="267"/>
    </row>
    <row r="4" spans="1:13" ht="137.5" x14ac:dyDescent="0.55000000000000004">
      <c r="A4" s="203" t="s">
        <v>36</v>
      </c>
      <c r="B4" s="203" t="s">
        <v>37</v>
      </c>
      <c r="C4" s="203" t="s">
        <v>38</v>
      </c>
      <c r="D4" s="203" t="s">
        <v>39</v>
      </c>
      <c r="E4" s="203" t="s">
        <v>40</v>
      </c>
      <c r="F4" s="203" t="s">
        <v>41</v>
      </c>
      <c r="G4" s="203" t="s">
        <v>42</v>
      </c>
      <c r="H4" s="203" t="s">
        <v>43</v>
      </c>
      <c r="I4" s="202"/>
      <c r="J4" s="203" t="s">
        <v>45</v>
      </c>
      <c r="K4" s="202"/>
      <c r="L4" s="203" t="s">
        <v>152</v>
      </c>
      <c r="M4" s="203" t="s">
        <v>47</v>
      </c>
    </row>
    <row r="5" spans="1:13" ht="55" x14ac:dyDescent="0.7">
      <c r="A5" s="250" t="s">
        <v>36</v>
      </c>
      <c r="B5" s="251" t="s">
        <v>37</v>
      </c>
      <c r="C5" s="251" t="s">
        <v>38</v>
      </c>
      <c r="D5" s="251" t="s">
        <v>265</v>
      </c>
      <c r="E5" s="251" t="s">
        <v>264</v>
      </c>
      <c r="F5" s="251" t="s">
        <v>113</v>
      </c>
      <c r="G5" s="251" t="s">
        <v>114</v>
      </c>
      <c r="H5" s="251" t="s">
        <v>115</v>
      </c>
      <c r="I5" s="252" t="s">
        <v>44</v>
      </c>
      <c r="J5" s="251" t="s">
        <v>116</v>
      </c>
      <c r="K5" s="252" t="s">
        <v>117</v>
      </c>
      <c r="L5" s="251" t="s">
        <v>152</v>
      </c>
      <c r="M5" s="253" t="s">
        <v>263</v>
      </c>
    </row>
    <row r="6" spans="1:13" ht="55" x14ac:dyDescent="0.7">
      <c r="A6" s="250" t="s">
        <v>58</v>
      </c>
      <c r="B6" s="251" t="s">
        <v>166</v>
      </c>
      <c r="C6" s="251" t="s">
        <v>32</v>
      </c>
      <c r="D6" s="251">
        <v>540</v>
      </c>
      <c r="E6" s="251">
        <v>17.600000000000001</v>
      </c>
      <c r="F6" s="251">
        <v>42896.4</v>
      </c>
      <c r="G6" s="251">
        <v>2400</v>
      </c>
      <c r="H6" s="251">
        <v>0.19</v>
      </c>
      <c r="I6" s="252">
        <f t="shared" ref="I6:I37" si="0">(G6*E6)*H6</f>
        <v>8025.6</v>
      </c>
      <c r="J6" s="251">
        <v>0</v>
      </c>
      <c r="K6" s="252">
        <f t="shared" ref="K6:K37" si="1">(G6*E6)*J6</f>
        <v>0</v>
      </c>
      <c r="L6" s="251" t="s">
        <v>53</v>
      </c>
      <c r="M6" s="253" t="s">
        <v>54</v>
      </c>
    </row>
    <row r="7" spans="1:13" ht="55" x14ac:dyDescent="0.7">
      <c r="A7" s="250" t="s">
        <v>58</v>
      </c>
      <c r="B7" s="251" t="s">
        <v>166</v>
      </c>
      <c r="C7" s="251" t="s">
        <v>32</v>
      </c>
      <c r="D7" s="251">
        <v>740</v>
      </c>
      <c r="E7" s="251">
        <v>20.399999999999999</v>
      </c>
      <c r="F7" s="251">
        <v>49174.7</v>
      </c>
      <c r="G7" s="251">
        <v>2400</v>
      </c>
      <c r="H7" s="251">
        <v>0.19</v>
      </c>
      <c r="I7" s="252">
        <f t="shared" si="0"/>
        <v>9302.4</v>
      </c>
      <c r="J7" s="251">
        <v>0</v>
      </c>
      <c r="K7" s="252">
        <f t="shared" si="1"/>
        <v>0</v>
      </c>
      <c r="L7" s="251" t="s">
        <v>53</v>
      </c>
      <c r="M7" s="253" t="s">
        <v>54</v>
      </c>
    </row>
    <row r="8" spans="1:13" ht="55" x14ac:dyDescent="0.7">
      <c r="A8" s="250" t="s">
        <v>72</v>
      </c>
      <c r="B8" s="251" t="s">
        <v>84</v>
      </c>
      <c r="C8" s="251" t="s">
        <v>74</v>
      </c>
      <c r="D8" s="251">
        <v>300</v>
      </c>
      <c r="E8" s="251">
        <v>104.5</v>
      </c>
      <c r="F8" s="251">
        <v>2917.9</v>
      </c>
      <c r="G8" s="251">
        <v>16</v>
      </c>
      <c r="H8" s="251">
        <v>3.5</v>
      </c>
      <c r="I8" s="252">
        <f t="shared" si="0"/>
        <v>5852</v>
      </c>
      <c r="J8" s="251">
        <v>0</v>
      </c>
      <c r="K8" s="252">
        <f t="shared" si="1"/>
        <v>0</v>
      </c>
      <c r="L8" s="251" t="s">
        <v>53</v>
      </c>
      <c r="M8" s="253" t="s">
        <v>54</v>
      </c>
    </row>
    <row r="9" spans="1:13" ht="55" x14ac:dyDescent="0.7">
      <c r="A9" s="250" t="s">
        <v>55</v>
      </c>
      <c r="B9" s="251" t="s">
        <v>84</v>
      </c>
      <c r="C9" s="251" t="s">
        <v>56</v>
      </c>
      <c r="D9" s="251">
        <v>100</v>
      </c>
      <c r="E9" s="251">
        <v>34.700000000000003</v>
      </c>
      <c r="F9" s="251">
        <v>81845.100000000006</v>
      </c>
      <c r="G9" s="251">
        <v>2363</v>
      </c>
      <c r="H9" s="251">
        <v>0.14000000000000001</v>
      </c>
      <c r="I9" s="252">
        <f t="shared" si="0"/>
        <v>11479.454000000002</v>
      </c>
      <c r="J9" s="251">
        <v>0</v>
      </c>
      <c r="K9" s="252">
        <f t="shared" si="1"/>
        <v>0</v>
      </c>
      <c r="L9" s="251" t="s">
        <v>53</v>
      </c>
      <c r="M9" s="253" t="s">
        <v>57</v>
      </c>
    </row>
    <row r="10" spans="1:13" ht="55" x14ac:dyDescent="0.7">
      <c r="A10" s="250" t="s">
        <v>72</v>
      </c>
      <c r="B10" s="251" t="s">
        <v>73</v>
      </c>
      <c r="C10" s="251" t="s">
        <v>74</v>
      </c>
      <c r="D10" s="251">
        <v>250</v>
      </c>
      <c r="E10" s="251">
        <v>13.9</v>
      </c>
      <c r="F10" s="251">
        <v>388.1</v>
      </c>
      <c r="G10" s="251">
        <v>16</v>
      </c>
      <c r="H10" s="251">
        <v>3.5</v>
      </c>
      <c r="I10" s="254">
        <f t="shared" si="0"/>
        <v>778.4</v>
      </c>
      <c r="J10" s="251">
        <v>0</v>
      </c>
      <c r="K10" s="252">
        <f t="shared" si="1"/>
        <v>0</v>
      </c>
      <c r="L10" s="251" t="s">
        <v>53</v>
      </c>
      <c r="M10" s="253" t="s">
        <v>54</v>
      </c>
    </row>
    <row r="11" spans="1:13" ht="55" x14ac:dyDescent="0.7">
      <c r="A11" s="250" t="s">
        <v>55</v>
      </c>
      <c r="B11" s="251" t="s">
        <v>73</v>
      </c>
      <c r="C11" s="251" t="s">
        <v>56</v>
      </c>
      <c r="D11" s="251">
        <v>150</v>
      </c>
      <c r="E11" s="251">
        <v>8.3000000000000007</v>
      </c>
      <c r="F11" s="251">
        <v>19539.400000000001</v>
      </c>
      <c r="G11" s="251">
        <v>2363</v>
      </c>
      <c r="H11" s="251">
        <v>0.14000000000000001</v>
      </c>
      <c r="I11" s="252">
        <f t="shared" si="0"/>
        <v>2745.8060000000005</v>
      </c>
      <c r="J11" s="251">
        <v>0</v>
      </c>
      <c r="K11" s="252">
        <f t="shared" si="1"/>
        <v>0</v>
      </c>
      <c r="L11" s="251" t="s">
        <v>53</v>
      </c>
      <c r="M11" s="253" t="s">
        <v>57</v>
      </c>
    </row>
    <row r="12" spans="1:13" ht="55" x14ac:dyDescent="0.7">
      <c r="A12" s="250" t="s">
        <v>81</v>
      </c>
      <c r="B12" s="251" t="s">
        <v>167</v>
      </c>
      <c r="C12" s="251" t="s">
        <v>18</v>
      </c>
      <c r="D12" s="251">
        <v>5</v>
      </c>
      <c r="E12" s="251">
        <v>0</v>
      </c>
      <c r="F12" s="251">
        <v>1523.5</v>
      </c>
      <c r="G12" s="251">
        <v>1620</v>
      </c>
      <c r="H12" s="251">
        <v>0.16</v>
      </c>
      <c r="I12" s="252">
        <f t="shared" si="0"/>
        <v>0</v>
      </c>
      <c r="J12" s="251">
        <v>0</v>
      </c>
      <c r="K12" s="252">
        <f t="shared" si="1"/>
        <v>0</v>
      </c>
      <c r="L12" s="251" t="s">
        <v>53</v>
      </c>
      <c r="M12" s="253" t="s">
        <v>83</v>
      </c>
    </row>
    <row r="13" spans="1:13" ht="55" x14ac:dyDescent="0.7">
      <c r="A13" s="250" t="s">
        <v>89</v>
      </c>
      <c r="B13" s="251" t="s">
        <v>165</v>
      </c>
      <c r="C13" s="251" t="s">
        <v>24</v>
      </c>
      <c r="D13" s="251">
        <v>51</v>
      </c>
      <c r="E13" s="251">
        <v>96.8</v>
      </c>
      <c r="F13" s="251">
        <v>61423.6</v>
      </c>
      <c r="G13" s="251">
        <v>470</v>
      </c>
      <c r="H13" s="251">
        <v>0.36</v>
      </c>
      <c r="I13" s="252">
        <f t="shared" si="0"/>
        <v>16378.56</v>
      </c>
      <c r="J13" s="251">
        <v>1.6</v>
      </c>
      <c r="K13" s="252">
        <f t="shared" si="1"/>
        <v>72793.600000000006</v>
      </c>
      <c r="L13" s="251" t="s">
        <v>53</v>
      </c>
      <c r="M13" s="253" t="s">
        <v>54</v>
      </c>
    </row>
    <row r="14" spans="1:13" ht="55" x14ac:dyDescent="0.7">
      <c r="A14" s="250" t="s">
        <v>95</v>
      </c>
      <c r="B14" s="251" t="s">
        <v>107</v>
      </c>
      <c r="C14" s="251" t="s">
        <v>31</v>
      </c>
      <c r="D14" s="251">
        <v>270</v>
      </c>
      <c r="E14" s="251">
        <v>89</v>
      </c>
      <c r="F14" s="251">
        <v>115655.8</v>
      </c>
      <c r="G14" s="251">
        <v>1410</v>
      </c>
      <c r="H14" s="251">
        <v>0.17</v>
      </c>
      <c r="I14" s="252">
        <f t="shared" si="0"/>
        <v>21333.300000000003</v>
      </c>
      <c r="J14" s="251">
        <v>0</v>
      </c>
      <c r="K14" s="252">
        <f t="shared" si="1"/>
        <v>0</v>
      </c>
      <c r="L14" s="251" t="s">
        <v>53</v>
      </c>
      <c r="M14" s="253" t="s">
        <v>54</v>
      </c>
    </row>
    <row r="15" spans="1:13" ht="55" x14ac:dyDescent="0.7">
      <c r="A15" s="250" t="s">
        <v>72</v>
      </c>
      <c r="B15" s="251" t="s">
        <v>77</v>
      </c>
      <c r="C15" s="251" t="s">
        <v>74</v>
      </c>
      <c r="D15" s="251">
        <v>140</v>
      </c>
      <c r="E15" s="251">
        <v>37.6</v>
      </c>
      <c r="F15" s="251">
        <v>1051.9000000000001</v>
      </c>
      <c r="G15" s="251">
        <v>16</v>
      </c>
      <c r="H15" s="251">
        <v>3.5</v>
      </c>
      <c r="I15" s="252">
        <f t="shared" si="0"/>
        <v>2105.6</v>
      </c>
      <c r="J15" s="251">
        <v>0</v>
      </c>
      <c r="K15" s="252">
        <f t="shared" si="1"/>
        <v>0</v>
      </c>
      <c r="L15" s="251" t="s">
        <v>53</v>
      </c>
      <c r="M15" s="253" t="s">
        <v>54</v>
      </c>
    </row>
    <row r="16" spans="1:13" ht="55" x14ac:dyDescent="0.7">
      <c r="A16" s="250" t="s">
        <v>95</v>
      </c>
      <c r="B16" s="251" t="s">
        <v>77</v>
      </c>
      <c r="C16" s="251" t="s">
        <v>30</v>
      </c>
      <c r="D16" s="251">
        <v>100</v>
      </c>
      <c r="E16" s="251">
        <v>27.1</v>
      </c>
      <c r="F16" s="251">
        <v>65022.3</v>
      </c>
      <c r="G16" s="251">
        <v>2375</v>
      </c>
      <c r="H16" s="251">
        <v>0.15</v>
      </c>
      <c r="I16" s="252">
        <f t="shared" si="0"/>
        <v>9654.375</v>
      </c>
      <c r="J16" s="251">
        <v>0</v>
      </c>
      <c r="K16" s="252">
        <f t="shared" si="1"/>
        <v>0</v>
      </c>
      <c r="L16" s="251" t="s">
        <v>53</v>
      </c>
      <c r="M16" s="253" t="s">
        <v>54</v>
      </c>
    </row>
    <row r="17" spans="1:13" ht="55" x14ac:dyDescent="0.7">
      <c r="A17" s="250" t="s">
        <v>95</v>
      </c>
      <c r="B17" s="251" t="s">
        <v>77</v>
      </c>
      <c r="C17" s="251" t="s">
        <v>30</v>
      </c>
      <c r="D17" s="251">
        <v>200</v>
      </c>
      <c r="E17" s="251">
        <v>52.9</v>
      </c>
      <c r="F17" s="251">
        <v>126894.5</v>
      </c>
      <c r="G17" s="251">
        <v>2375</v>
      </c>
      <c r="H17" s="251">
        <v>0.15</v>
      </c>
      <c r="I17" s="252">
        <f t="shared" si="0"/>
        <v>18845.625</v>
      </c>
      <c r="J17" s="251">
        <v>0</v>
      </c>
      <c r="K17" s="252">
        <f t="shared" si="1"/>
        <v>0</v>
      </c>
      <c r="L17" s="251" t="s">
        <v>53</v>
      </c>
      <c r="M17" s="253" t="s">
        <v>54</v>
      </c>
    </row>
    <row r="18" spans="1:13" ht="55" x14ac:dyDescent="0.7">
      <c r="A18" s="250" t="s">
        <v>95</v>
      </c>
      <c r="B18" s="251" t="s">
        <v>106</v>
      </c>
      <c r="C18" s="251" t="s">
        <v>30</v>
      </c>
      <c r="D18" s="251">
        <v>440</v>
      </c>
      <c r="E18" s="251">
        <v>31.6</v>
      </c>
      <c r="F18" s="251">
        <v>75898.3</v>
      </c>
      <c r="G18" s="251">
        <v>2375</v>
      </c>
      <c r="H18" s="251">
        <v>0.15</v>
      </c>
      <c r="I18" s="252">
        <f t="shared" si="0"/>
        <v>11257.5</v>
      </c>
      <c r="J18" s="251">
        <v>0</v>
      </c>
      <c r="K18" s="252">
        <f t="shared" si="1"/>
        <v>0</v>
      </c>
      <c r="L18" s="251" t="s">
        <v>53</v>
      </c>
      <c r="M18" s="253" t="s">
        <v>54</v>
      </c>
    </row>
    <row r="19" spans="1:13" ht="55" x14ac:dyDescent="0.7">
      <c r="A19" s="250" t="s">
        <v>59</v>
      </c>
      <c r="B19" s="251" t="s">
        <v>122</v>
      </c>
      <c r="C19" s="251" t="s">
        <v>61</v>
      </c>
      <c r="D19" s="251">
        <v>32</v>
      </c>
      <c r="E19" s="251">
        <v>35</v>
      </c>
      <c r="F19" s="251">
        <v>42</v>
      </c>
      <c r="G19" s="251">
        <v>0</v>
      </c>
      <c r="H19" s="251">
        <v>0</v>
      </c>
      <c r="I19" s="252">
        <f t="shared" si="0"/>
        <v>0</v>
      </c>
      <c r="J19" s="251">
        <v>0</v>
      </c>
      <c r="K19" s="252">
        <f t="shared" si="1"/>
        <v>0</v>
      </c>
      <c r="L19" s="251" t="s">
        <v>53</v>
      </c>
      <c r="M19" s="253" t="s">
        <v>57</v>
      </c>
    </row>
    <row r="20" spans="1:13" ht="55" x14ac:dyDescent="0.7">
      <c r="A20" s="250" t="s">
        <v>78</v>
      </c>
      <c r="B20" s="251" t="s">
        <v>122</v>
      </c>
      <c r="C20" s="251" t="s">
        <v>26</v>
      </c>
      <c r="D20" s="251">
        <v>28</v>
      </c>
      <c r="E20" s="251">
        <v>31</v>
      </c>
      <c r="F20" s="251">
        <v>21581.5</v>
      </c>
      <c r="G20" s="251">
        <v>474</v>
      </c>
      <c r="H20" s="251">
        <v>0.09</v>
      </c>
      <c r="I20" s="252">
        <f t="shared" si="0"/>
        <v>1322.46</v>
      </c>
      <c r="J20" s="251">
        <v>1.6</v>
      </c>
      <c r="K20" s="252">
        <f t="shared" si="1"/>
        <v>23510.400000000001</v>
      </c>
      <c r="L20" s="251" t="s">
        <v>53</v>
      </c>
      <c r="M20" s="253" t="s">
        <v>57</v>
      </c>
    </row>
    <row r="21" spans="1:13" ht="55" x14ac:dyDescent="0.7">
      <c r="A21" s="250" t="s">
        <v>79</v>
      </c>
      <c r="B21" s="251" t="s">
        <v>122</v>
      </c>
      <c r="C21" s="251" t="s">
        <v>15</v>
      </c>
      <c r="D21" s="251">
        <v>15</v>
      </c>
      <c r="E21" s="251">
        <v>12.4</v>
      </c>
      <c r="F21" s="251">
        <v>10979.1</v>
      </c>
      <c r="G21" s="251">
        <v>875</v>
      </c>
      <c r="H21" s="251">
        <v>0.28000000000000003</v>
      </c>
      <c r="I21" s="252">
        <f t="shared" si="0"/>
        <v>3038.0000000000005</v>
      </c>
      <c r="J21" s="251">
        <v>0</v>
      </c>
      <c r="K21" s="252">
        <f t="shared" si="1"/>
        <v>0</v>
      </c>
      <c r="L21" s="251" t="s">
        <v>53</v>
      </c>
      <c r="M21" s="253" t="s">
        <v>57</v>
      </c>
    </row>
    <row r="22" spans="1:13" ht="55" x14ac:dyDescent="0.7">
      <c r="A22" s="250" t="s">
        <v>89</v>
      </c>
      <c r="B22" s="251" t="s">
        <v>122</v>
      </c>
      <c r="C22" s="251" t="s">
        <v>20</v>
      </c>
      <c r="D22" s="251">
        <v>120</v>
      </c>
      <c r="E22" s="251">
        <v>127</v>
      </c>
      <c r="F22" s="251">
        <v>89091.5</v>
      </c>
      <c r="G22" s="251">
        <v>470</v>
      </c>
      <c r="H22" s="251">
        <v>0.2</v>
      </c>
      <c r="I22" s="252">
        <f t="shared" si="0"/>
        <v>11938</v>
      </c>
      <c r="J22" s="251">
        <v>1.6</v>
      </c>
      <c r="K22" s="252">
        <f t="shared" si="1"/>
        <v>95504</v>
      </c>
      <c r="L22" s="251" t="s">
        <v>53</v>
      </c>
      <c r="M22" s="253" t="s">
        <v>54</v>
      </c>
    </row>
    <row r="23" spans="1:13" ht="55" x14ac:dyDescent="0.7">
      <c r="A23" s="250" t="s">
        <v>50</v>
      </c>
      <c r="B23" s="251" t="s">
        <v>122</v>
      </c>
      <c r="C23" s="251" t="s">
        <v>52</v>
      </c>
      <c r="D23" s="251">
        <v>220</v>
      </c>
      <c r="E23" s="251">
        <v>238</v>
      </c>
      <c r="F23" s="251">
        <v>119034</v>
      </c>
      <c r="G23" s="251">
        <v>61</v>
      </c>
      <c r="H23" s="251">
        <v>1.5</v>
      </c>
      <c r="I23" s="252">
        <f t="shared" si="0"/>
        <v>21777</v>
      </c>
      <c r="J23" s="251">
        <v>0</v>
      </c>
      <c r="K23" s="252">
        <f t="shared" si="1"/>
        <v>0</v>
      </c>
      <c r="L23" s="251" t="s">
        <v>53</v>
      </c>
      <c r="M23" s="253" t="s">
        <v>54</v>
      </c>
    </row>
    <row r="24" spans="1:13" ht="55" x14ac:dyDescent="0.7">
      <c r="A24" s="250" t="s">
        <v>59</v>
      </c>
      <c r="B24" s="251" t="s">
        <v>60</v>
      </c>
      <c r="C24" s="251" t="s">
        <v>61</v>
      </c>
      <c r="D24" s="251">
        <v>32</v>
      </c>
      <c r="E24" s="251">
        <v>1.8</v>
      </c>
      <c r="F24" s="251">
        <v>2.2000000000000002</v>
      </c>
      <c r="G24" s="251">
        <v>0</v>
      </c>
      <c r="H24" s="251">
        <v>0</v>
      </c>
      <c r="I24" s="252">
        <f t="shared" si="0"/>
        <v>0</v>
      </c>
      <c r="J24" s="251">
        <v>0</v>
      </c>
      <c r="K24" s="252">
        <f t="shared" si="1"/>
        <v>0</v>
      </c>
      <c r="L24" s="251" t="s">
        <v>53</v>
      </c>
      <c r="M24" s="253" t="s">
        <v>57</v>
      </c>
    </row>
    <row r="25" spans="1:13" ht="55" x14ac:dyDescent="0.7">
      <c r="A25" s="250" t="s">
        <v>78</v>
      </c>
      <c r="B25" s="251" t="s">
        <v>60</v>
      </c>
      <c r="C25" s="251" t="s">
        <v>26</v>
      </c>
      <c r="D25" s="251">
        <v>28</v>
      </c>
      <c r="E25" s="251">
        <v>1.6</v>
      </c>
      <c r="F25" s="251">
        <v>1160.5999999999999</v>
      </c>
      <c r="G25" s="251">
        <v>474</v>
      </c>
      <c r="H25" s="251">
        <v>0.09</v>
      </c>
      <c r="I25" s="254">
        <f t="shared" si="0"/>
        <v>68.256</v>
      </c>
      <c r="J25" s="251">
        <v>1.6</v>
      </c>
      <c r="K25" s="252">
        <f t="shared" si="1"/>
        <v>1213.4400000000003</v>
      </c>
      <c r="L25" s="251" t="s">
        <v>53</v>
      </c>
      <c r="M25" s="253" t="s">
        <v>57</v>
      </c>
    </row>
    <row r="26" spans="1:13" ht="55" x14ac:dyDescent="0.7">
      <c r="A26" s="250" t="s">
        <v>70</v>
      </c>
      <c r="B26" s="251" t="s">
        <v>60</v>
      </c>
      <c r="C26" s="251" t="s">
        <v>71</v>
      </c>
      <c r="D26" s="251">
        <v>25</v>
      </c>
      <c r="E26" s="251">
        <v>1.4</v>
      </c>
      <c r="F26" s="251">
        <v>296</v>
      </c>
      <c r="G26" s="251">
        <v>60</v>
      </c>
      <c r="H26" s="251">
        <v>1.02</v>
      </c>
      <c r="I26" s="254">
        <f t="shared" si="0"/>
        <v>85.68</v>
      </c>
      <c r="J26" s="251">
        <v>1.1000000000000001</v>
      </c>
      <c r="K26" s="252">
        <f t="shared" si="1"/>
        <v>92.4</v>
      </c>
      <c r="L26" s="251" t="s">
        <v>53</v>
      </c>
      <c r="M26" s="253" t="s">
        <v>54</v>
      </c>
    </row>
    <row r="27" spans="1:13" ht="55" x14ac:dyDescent="0.7">
      <c r="A27" s="250" t="s">
        <v>58</v>
      </c>
      <c r="B27" s="251" t="s">
        <v>51</v>
      </c>
      <c r="C27" s="251" t="s">
        <v>32</v>
      </c>
      <c r="D27" s="251">
        <v>150</v>
      </c>
      <c r="E27" s="251">
        <v>0</v>
      </c>
      <c r="F27" s="251">
        <v>0</v>
      </c>
      <c r="G27" s="251">
        <v>2400</v>
      </c>
      <c r="H27" s="251">
        <v>0.19</v>
      </c>
      <c r="I27" s="252">
        <f t="shared" si="0"/>
        <v>0</v>
      </c>
      <c r="J27" s="251">
        <v>0</v>
      </c>
      <c r="K27" s="252">
        <f t="shared" si="1"/>
        <v>0</v>
      </c>
      <c r="L27" s="251" t="s">
        <v>53</v>
      </c>
      <c r="M27" s="253" t="s">
        <v>54</v>
      </c>
    </row>
    <row r="28" spans="1:13" ht="55" x14ac:dyDescent="0.7">
      <c r="A28" s="250" t="s">
        <v>50</v>
      </c>
      <c r="B28" s="251" t="s">
        <v>51</v>
      </c>
      <c r="C28" s="251" t="s">
        <v>52</v>
      </c>
      <c r="D28" s="251">
        <v>250</v>
      </c>
      <c r="E28" s="251">
        <v>0</v>
      </c>
      <c r="F28" s="251">
        <v>0</v>
      </c>
      <c r="G28" s="251">
        <v>61</v>
      </c>
      <c r="H28" s="251">
        <v>1.5</v>
      </c>
      <c r="I28" s="252">
        <f t="shared" si="0"/>
        <v>0</v>
      </c>
      <c r="J28" s="251">
        <v>0</v>
      </c>
      <c r="K28" s="252">
        <f t="shared" si="1"/>
        <v>0</v>
      </c>
      <c r="L28" s="251" t="s">
        <v>53</v>
      </c>
      <c r="M28" s="253" t="s">
        <v>54</v>
      </c>
    </row>
    <row r="29" spans="1:13" ht="55" x14ac:dyDescent="0.7">
      <c r="A29" s="250" t="s">
        <v>55</v>
      </c>
      <c r="B29" s="251" t="s">
        <v>51</v>
      </c>
      <c r="C29" s="251" t="s">
        <v>56</v>
      </c>
      <c r="D29" s="251">
        <v>70</v>
      </c>
      <c r="E29" s="251">
        <v>0</v>
      </c>
      <c r="F29" s="251">
        <v>0</v>
      </c>
      <c r="G29" s="251">
        <v>2363</v>
      </c>
      <c r="H29" s="251">
        <v>0.14000000000000001</v>
      </c>
      <c r="I29" s="252">
        <f t="shared" si="0"/>
        <v>0</v>
      </c>
      <c r="J29" s="251">
        <v>0</v>
      </c>
      <c r="K29" s="252">
        <f t="shared" si="1"/>
        <v>0</v>
      </c>
      <c r="L29" s="251" t="s">
        <v>53</v>
      </c>
      <c r="M29" s="253" t="s">
        <v>57</v>
      </c>
    </row>
    <row r="30" spans="1:13" ht="55" x14ac:dyDescent="0.7">
      <c r="A30" s="250" t="s">
        <v>50</v>
      </c>
      <c r="B30" s="251" t="s">
        <v>88</v>
      </c>
      <c r="C30" s="251" t="s">
        <v>52</v>
      </c>
      <c r="D30" s="251">
        <v>140</v>
      </c>
      <c r="E30" s="251">
        <v>8.3000000000000007</v>
      </c>
      <c r="F30" s="251">
        <v>4163.8</v>
      </c>
      <c r="G30" s="251">
        <v>61</v>
      </c>
      <c r="H30" s="251">
        <v>1.5</v>
      </c>
      <c r="I30" s="254">
        <f t="shared" si="0"/>
        <v>759.45</v>
      </c>
      <c r="J30" s="251">
        <v>0</v>
      </c>
      <c r="K30" s="252">
        <f t="shared" si="1"/>
        <v>0</v>
      </c>
      <c r="L30" s="251" t="s">
        <v>53</v>
      </c>
      <c r="M30" s="253" t="s">
        <v>54</v>
      </c>
    </row>
    <row r="31" spans="1:13" ht="55" x14ac:dyDescent="0.7">
      <c r="A31" s="250" t="s">
        <v>55</v>
      </c>
      <c r="B31" s="251" t="s">
        <v>88</v>
      </c>
      <c r="C31" s="251" t="s">
        <v>56</v>
      </c>
      <c r="D31" s="251">
        <v>100</v>
      </c>
      <c r="E31" s="251">
        <v>6</v>
      </c>
      <c r="F31" s="251">
        <v>14181.2</v>
      </c>
      <c r="G31" s="251">
        <v>2363</v>
      </c>
      <c r="H31" s="251">
        <v>0.14000000000000001</v>
      </c>
      <c r="I31" s="252">
        <f t="shared" si="0"/>
        <v>1984.9200000000003</v>
      </c>
      <c r="J31" s="251">
        <v>0</v>
      </c>
      <c r="K31" s="252">
        <f t="shared" si="1"/>
        <v>0</v>
      </c>
      <c r="L31" s="251" t="s">
        <v>53</v>
      </c>
      <c r="M31" s="253" t="s">
        <v>57</v>
      </c>
    </row>
    <row r="32" spans="1:13" ht="55" x14ac:dyDescent="0.7">
      <c r="A32" s="250" t="s">
        <v>58</v>
      </c>
      <c r="B32" s="251" t="s">
        <v>88</v>
      </c>
      <c r="C32" s="251" t="s">
        <v>32</v>
      </c>
      <c r="D32" s="251">
        <v>300</v>
      </c>
      <c r="E32" s="251">
        <v>16.100000000000001</v>
      </c>
      <c r="F32" s="251">
        <v>38836.300000000003</v>
      </c>
      <c r="G32" s="251">
        <v>2400</v>
      </c>
      <c r="H32" s="251">
        <v>0.19</v>
      </c>
      <c r="I32" s="252">
        <f t="shared" si="0"/>
        <v>7341.6</v>
      </c>
      <c r="J32" s="251">
        <v>0</v>
      </c>
      <c r="K32" s="252">
        <f t="shared" si="1"/>
        <v>0</v>
      </c>
      <c r="L32" s="251" t="s">
        <v>53</v>
      </c>
      <c r="M32" s="253" t="s">
        <v>54</v>
      </c>
    </row>
    <row r="33" spans="1:13" ht="55" x14ac:dyDescent="0.7">
      <c r="A33" s="250" t="s">
        <v>90</v>
      </c>
      <c r="B33" s="251" t="s">
        <v>91</v>
      </c>
      <c r="C33" s="251" t="s">
        <v>22</v>
      </c>
      <c r="D33" s="251">
        <v>25</v>
      </c>
      <c r="E33" s="251">
        <v>14.8</v>
      </c>
      <c r="F33" s="251">
        <v>7424.4</v>
      </c>
      <c r="G33" s="251">
        <v>474</v>
      </c>
      <c r="H33" s="251">
        <v>0.09</v>
      </c>
      <c r="I33" s="254">
        <f t="shared" si="0"/>
        <v>631.36800000000005</v>
      </c>
      <c r="J33" s="251">
        <v>1.6</v>
      </c>
      <c r="K33" s="252">
        <f t="shared" si="1"/>
        <v>11224.320000000002</v>
      </c>
      <c r="L33" s="251" t="s">
        <v>53</v>
      </c>
      <c r="M33" s="253" t="s">
        <v>54</v>
      </c>
    </row>
    <row r="34" spans="1:13" ht="55" x14ac:dyDescent="0.7">
      <c r="A34" s="250" t="s">
        <v>94</v>
      </c>
      <c r="B34" s="251" t="s">
        <v>91</v>
      </c>
      <c r="C34" s="251" t="s">
        <v>28</v>
      </c>
      <c r="D34" s="251">
        <v>1</v>
      </c>
      <c r="E34" s="251">
        <f>1.2/2</f>
        <v>0.6</v>
      </c>
      <c r="F34" s="251">
        <v>8553</v>
      </c>
      <c r="G34" s="251">
        <v>7850</v>
      </c>
      <c r="H34" s="251">
        <v>3.1</v>
      </c>
      <c r="I34" s="252">
        <f t="shared" si="0"/>
        <v>14601</v>
      </c>
      <c r="J34" s="251">
        <v>0</v>
      </c>
      <c r="K34" s="252">
        <f t="shared" si="1"/>
        <v>0</v>
      </c>
      <c r="L34" s="251" t="s">
        <v>53</v>
      </c>
      <c r="M34" s="253" t="s">
        <v>54</v>
      </c>
    </row>
    <row r="35" spans="1:13" ht="55" x14ac:dyDescent="0.7">
      <c r="A35" s="250" t="s">
        <v>59</v>
      </c>
      <c r="B35" s="251" t="s">
        <v>68</v>
      </c>
      <c r="C35" s="251" t="s">
        <v>61</v>
      </c>
      <c r="D35" s="251">
        <v>30</v>
      </c>
      <c r="E35" s="251">
        <v>42</v>
      </c>
      <c r="F35" s="251">
        <v>52.2</v>
      </c>
      <c r="G35" s="251">
        <v>0</v>
      </c>
      <c r="H35" s="251">
        <v>0</v>
      </c>
      <c r="I35" s="252">
        <f t="shared" si="0"/>
        <v>0</v>
      </c>
      <c r="J35" s="251">
        <v>0</v>
      </c>
      <c r="K35" s="252">
        <f t="shared" si="1"/>
        <v>0</v>
      </c>
      <c r="L35" s="251" t="s">
        <v>53</v>
      </c>
      <c r="M35" s="253" t="s">
        <v>54</v>
      </c>
    </row>
    <row r="36" spans="1:13" ht="55" x14ac:dyDescent="0.7">
      <c r="A36" s="250" t="s">
        <v>59</v>
      </c>
      <c r="B36" s="251" t="s">
        <v>68</v>
      </c>
      <c r="C36" s="251" t="s">
        <v>61</v>
      </c>
      <c r="D36" s="251">
        <v>160</v>
      </c>
      <c r="E36" s="251">
        <v>188.2</v>
      </c>
      <c r="F36" s="251">
        <v>226.9</v>
      </c>
      <c r="G36" s="251">
        <v>0</v>
      </c>
      <c r="H36" s="251">
        <v>0</v>
      </c>
      <c r="I36" s="252">
        <f t="shared" si="0"/>
        <v>0</v>
      </c>
      <c r="J36" s="251">
        <v>0</v>
      </c>
      <c r="K36" s="252">
        <f t="shared" si="1"/>
        <v>0</v>
      </c>
      <c r="L36" s="251" t="s">
        <v>53</v>
      </c>
      <c r="M36" s="253" t="s">
        <v>54</v>
      </c>
    </row>
    <row r="37" spans="1:13" ht="55" x14ac:dyDescent="0.7">
      <c r="A37" s="250" t="s">
        <v>64</v>
      </c>
      <c r="B37" s="251" t="s">
        <v>68</v>
      </c>
      <c r="C37" s="251" t="s">
        <v>66</v>
      </c>
      <c r="D37" s="251">
        <v>25</v>
      </c>
      <c r="E37" s="251">
        <v>35.5</v>
      </c>
      <c r="F37" s="251">
        <v>42</v>
      </c>
      <c r="G37" s="251">
        <v>0</v>
      </c>
      <c r="H37" s="251">
        <v>0</v>
      </c>
      <c r="I37" s="252">
        <f t="shared" si="0"/>
        <v>0</v>
      </c>
      <c r="J37" s="251">
        <v>0</v>
      </c>
      <c r="K37" s="252">
        <f t="shared" si="1"/>
        <v>0</v>
      </c>
      <c r="L37" s="251" t="s">
        <v>53</v>
      </c>
      <c r="M37" s="253" t="s">
        <v>54</v>
      </c>
    </row>
    <row r="38" spans="1:13" ht="55" x14ac:dyDescent="0.7">
      <c r="A38" s="250" t="s">
        <v>50</v>
      </c>
      <c r="B38" s="251" t="s">
        <v>68</v>
      </c>
      <c r="C38" s="251" t="s">
        <v>52</v>
      </c>
      <c r="D38" s="251">
        <v>30</v>
      </c>
      <c r="E38" s="251">
        <v>42</v>
      </c>
      <c r="F38" s="251">
        <v>21393.7</v>
      </c>
      <c r="G38" s="251">
        <v>61</v>
      </c>
      <c r="H38" s="251">
        <v>1.5</v>
      </c>
      <c r="I38" s="252">
        <f t="shared" ref="I38:I69" si="2">(G38*E38)*H38</f>
        <v>3843</v>
      </c>
      <c r="J38" s="251">
        <v>0</v>
      </c>
      <c r="K38" s="252">
        <f t="shared" ref="K38:K69" si="3">(G38*E38)*J38</f>
        <v>0</v>
      </c>
      <c r="L38" s="251" t="s">
        <v>53</v>
      </c>
      <c r="M38" s="253" t="s">
        <v>57</v>
      </c>
    </row>
    <row r="39" spans="1:13" ht="82.5" x14ac:dyDescent="0.7">
      <c r="A39" s="250" t="s">
        <v>75</v>
      </c>
      <c r="B39" s="251" t="s">
        <v>68</v>
      </c>
      <c r="C39" s="251" t="s">
        <v>76</v>
      </c>
      <c r="D39" s="251">
        <v>100</v>
      </c>
      <c r="E39" s="251">
        <v>118.3</v>
      </c>
      <c r="F39" s="251">
        <v>4717.8</v>
      </c>
      <c r="G39" s="251">
        <v>33</v>
      </c>
      <c r="H39" s="251">
        <v>1.5</v>
      </c>
      <c r="I39" s="252">
        <f t="shared" si="2"/>
        <v>5855.85</v>
      </c>
      <c r="J39" s="251">
        <v>0</v>
      </c>
      <c r="K39" s="252">
        <f t="shared" si="3"/>
        <v>0</v>
      </c>
      <c r="L39" s="251" t="s">
        <v>53</v>
      </c>
      <c r="M39" s="253" t="s">
        <v>54</v>
      </c>
    </row>
    <row r="40" spans="1:13" ht="55" x14ac:dyDescent="0.7">
      <c r="A40" s="250" t="s">
        <v>86</v>
      </c>
      <c r="B40" s="251" t="s">
        <v>68</v>
      </c>
      <c r="C40" s="251" t="s">
        <v>87</v>
      </c>
      <c r="D40" s="251">
        <v>18</v>
      </c>
      <c r="E40" s="251">
        <v>25</v>
      </c>
      <c r="F40" s="251">
        <v>20537.900000000001</v>
      </c>
      <c r="G40" s="251">
        <v>610</v>
      </c>
      <c r="H40" s="251">
        <v>0.42</v>
      </c>
      <c r="I40" s="252">
        <f t="shared" si="2"/>
        <v>6405</v>
      </c>
      <c r="J40" s="251">
        <v>1.5</v>
      </c>
      <c r="K40" s="252">
        <f t="shared" si="3"/>
        <v>22875</v>
      </c>
      <c r="L40" s="251" t="s">
        <v>53</v>
      </c>
      <c r="M40" s="253" t="s">
        <v>57</v>
      </c>
    </row>
    <row r="41" spans="1:13" ht="55" x14ac:dyDescent="0.7">
      <c r="A41" s="250" t="s">
        <v>89</v>
      </c>
      <c r="B41" s="251" t="s">
        <v>68</v>
      </c>
      <c r="C41" s="251" t="s">
        <v>20</v>
      </c>
      <c r="D41" s="251">
        <v>80</v>
      </c>
      <c r="E41" s="251">
        <v>114.5</v>
      </c>
      <c r="F41" s="251">
        <v>79932.399999999994</v>
      </c>
      <c r="G41" s="251">
        <v>470</v>
      </c>
      <c r="H41" s="251">
        <v>0.2</v>
      </c>
      <c r="I41" s="252">
        <f t="shared" si="2"/>
        <v>10763</v>
      </c>
      <c r="J41" s="251">
        <v>1.6</v>
      </c>
      <c r="K41" s="252">
        <f t="shared" si="3"/>
        <v>86104</v>
      </c>
      <c r="L41" s="251" t="s">
        <v>53</v>
      </c>
      <c r="M41" s="253" t="s">
        <v>54</v>
      </c>
    </row>
    <row r="42" spans="1:13" ht="55" x14ac:dyDescent="0.7">
      <c r="A42" s="250" t="s">
        <v>101</v>
      </c>
      <c r="B42" s="251" t="s">
        <v>68</v>
      </c>
      <c r="C42" s="251" t="s">
        <v>4</v>
      </c>
      <c r="D42" s="251">
        <v>40</v>
      </c>
      <c r="E42" s="251">
        <v>57.8</v>
      </c>
      <c r="F42" s="251">
        <v>102691.1</v>
      </c>
      <c r="G42" s="251">
        <v>2353</v>
      </c>
      <c r="H42" s="251">
        <v>0.12</v>
      </c>
      <c r="I42" s="252">
        <f t="shared" si="2"/>
        <v>16320.407999999999</v>
      </c>
      <c r="J42" s="251">
        <v>0</v>
      </c>
      <c r="K42" s="252">
        <f t="shared" si="3"/>
        <v>0</v>
      </c>
      <c r="L42" s="251" t="s">
        <v>53</v>
      </c>
      <c r="M42" s="253" t="s">
        <v>57</v>
      </c>
    </row>
    <row r="43" spans="1:13" ht="82.5" x14ac:dyDescent="0.7">
      <c r="A43" s="250" t="s">
        <v>86</v>
      </c>
      <c r="B43" s="251" t="s">
        <v>65</v>
      </c>
      <c r="C43" s="251" t="s">
        <v>87</v>
      </c>
      <c r="D43" s="251">
        <v>18</v>
      </c>
      <c r="E43" s="251">
        <v>5.5</v>
      </c>
      <c r="F43" s="251">
        <v>3838</v>
      </c>
      <c r="G43" s="251">
        <v>610</v>
      </c>
      <c r="H43" s="251">
        <v>0.42</v>
      </c>
      <c r="I43" s="252">
        <f t="shared" si="2"/>
        <v>1409.1</v>
      </c>
      <c r="J43" s="251">
        <v>1.5</v>
      </c>
      <c r="K43" s="252">
        <f t="shared" si="3"/>
        <v>5032.5</v>
      </c>
      <c r="L43" s="251" t="s">
        <v>53</v>
      </c>
      <c r="M43" s="253" t="s">
        <v>57</v>
      </c>
    </row>
    <row r="44" spans="1:13" ht="82.5" x14ac:dyDescent="0.7">
      <c r="A44" s="250" t="s">
        <v>64</v>
      </c>
      <c r="B44" s="251" t="s">
        <v>65</v>
      </c>
      <c r="C44" s="251" t="s">
        <v>66</v>
      </c>
      <c r="D44" s="251">
        <v>25</v>
      </c>
      <c r="E44" s="251">
        <v>5.5</v>
      </c>
      <c r="F44" s="251">
        <v>5.5</v>
      </c>
      <c r="G44" s="251">
        <v>0</v>
      </c>
      <c r="H44" s="251">
        <v>0</v>
      </c>
      <c r="I44" s="252">
        <f t="shared" si="2"/>
        <v>0</v>
      </c>
      <c r="J44" s="251">
        <v>0</v>
      </c>
      <c r="K44" s="252">
        <f t="shared" si="3"/>
        <v>0</v>
      </c>
      <c r="L44" s="251" t="s">
        <v>53</v>
      </c>
      <c r="M44" s="253" t="s">
        <v>57</v>
      </c>
    </row>
    <row r="45" spans="1:13" ht="82.5" x14ac:dyDescent="0.7">
      <c r="A45" s="250" t="s">
        <v>64</v>
      </c>
      <c r="B45" s="251" t="s">
        <v>65</v>
      </c>
      <c r="C45" s="251" t="s">
        <v>66</v>
      </c>
      <c r="D45" s="251">
        <v>30</v>
      </c>
      <c r="E45" s="251">
        <v>5.5</v>
      </c>
      <c r="F45" s="251">
        <v>11</v>
      </c>
      <c r="G45" s="251">
        <v>0</v>
      </c>
      <c r="H45" s="251">
        <v>0</v>
      </c>
      <c r="I45" s="252">
        <f t="shared" si="2"/>
        <v>0</v>
      </c>
      <c r="J45" s="251">
        <v>0</v>
      </c>
      <c r="K45" s="252">
        <f t="shared" si="3"/>
        <v>0</v>
      </c>
      <c r="L45" s="251" t="s">
        <v>53</v>
      </c>
      <c r="M45" s="253" t="s">
        <v>57</v>
      </c>
    </row>
    <row r="46" spans="1:13" ht="82.5" x14ac:dyDescent="0.7">
      <c r="A46" s="250" t="s">
        <v>64</v>
      </c>
      <c r="B46" s="251" t="s">
        <v>65</v>
      </c>
      <c r="C46" s="251" t="s">
        <v>66</v>
      </c>
      <c r="D46" s="251">
        <v>160</v>
      </c>
      <c r="E46" s="251">
        <v>33.4</v>
      </c>
      <c r="F46" s="251">
        <v>44</v>
      </c>
      <c r="G46" s="251">
        <v>0</v>
      </c>
      <c r="H46" s="251">
        <v>0</v>
      </c>
      <c r="I46" s="252">
        <f t="shared" si="2"/>
        <v>0</v>
      </c>
      <c r="J46" s="251">
        <v>0</v>
      </c>
      <c r="K46" s="252">
        <f t="shared" si="3"/>
        <v>0</v>
      </c>
      <c r="L46" s="251" t="s">
        <v>53</v>
      </c>
      <c r="M46" s="253" t="s">
        <v>57</v>
      </c>
    </row>
    <row r="47" spans="1:13" ht="82.5" x14ac:dyDescent="0.7">
      <c r="A47" s="250" t="s">
        <v>50</v>
      </c>
      <c r="B47" s="251" t="s">
        <v>65</v>
      </c>
      <c r="C47" s="251" t="s">
        <v>52</v>
      </c>
      <c r="D47" s="251">
        <v>30</v>
      </c>
      <c r="E47" s="251">
        <v>5.5</v>
      </c>
      <c r="F47" s="251">
        <v>3996.8</v>
      </c>
      <c r="G47" s="251">
        <v>61</v>
      </c>
      <c r="H47" s="251">
        <v>1.5</v>
      </c>
      <c r="I47" s="254">
        <f t="shared" si="2"/>
        <v>503.25</v>
      </c>
      <c r="J47" s="251">
        <v>0</v>
      </c>
      <c r="K47" s="252">
        <f t="shared" si="3"/>
        <v>0</v>
      </c>
      <c r="L47" s="251" t="s">
        <v>53</v>
      </c>
      <c r="M47" s="253" t="s">
        <v>57</v>
      </c>
    </row>
    <row r="48" spans="1:13" ht="82.5" x14ac:dyDescent="0.7">
      <c r="A48" s="250" t="s">
        <v>75</v>
      </c>
      <c r="B48" s="251" t="s">
        <v>65</v>
      </c>
      <c r="C48" s="251" t="s">
        <v>76</v>
      </c>
      <c r="D48" s="251">
        <v>100</v>
      </c>
      <c r="E48" s="251">
        <v>22</v>
      </c>
      <c r="F48" s="251">
        <v>883.1</v>
      </c>
      <c r="G48" s="251">
        <v>33</v>
      </c>
      <c r="H48" s="251">
        <v>1.5</v>
      </c>
      <c r="I48" s="252">
        <f t="shared" si="2"/>
        <v>1089</v>
      </c>
      <c r="J48" s="251">
        <v>0</v>
      </c>
      <c r="K48" s="252">
        <f t="shared" si="3"/>
        <v>0</v>
      </c>
      <c r="L48" s="251" t="s">
        <v>53</v>
      </c>
      <c r="M48" s="253" t="s">
        <v>57</v>
      </c>
    </row>
    <row r="49" spans="1:13" ht="82.5" x14ac:dyDescent="0.7">
      <c r="A49" s="250" t="s">
        <v>79</v>
      </c>
      <c r="B49" s="251" t="s">
        <v>65</v>
      </c>
      <c r="C49" s="251" t="s">
        <v>15</v>
      </c>
      <c r="D49" s="251">
        <v>13</v>
      </c>
      <c r="E49" s="251">
        <v>5.5</v>
      </c>
      <c r="F49" s="251">
        <v>2798</v>
      </c>
      <c r="G49" s="251">
        <v>875</v>
      </c>
      <c r="H49" s="251">
        <v>0.28000000000000003</v>
      </c>
      <c r="I49" s="252">
        <f t="shared" si="2"/>
        <v>1347.5000000000002</v>
      </c>
      <c r="J49" s="251">
        <v>0</v>
      </c>
      <c r="K49" s="252">
        <f t="shared" si="3"/>
        <v>0</v>
      </c>
      <c r="L49" s="251" t="s">
        <v>53</v>
      </c>
      <c r="M49" s="253" t="s">
        <v>57</v>
      </c>
    </row>
    <row r="50" spans="1:13" ht="82.5" x14ac:dyDescent="0.7">
      <c r="A50" s="250" t="s">
        <v>89</v>
      </c>
      <c r="B50" s="251" t="s">
        <v>65</v>
      </c>
      <c r="C50" s="251" t="s">
        <v>20</v>
      </c>
      <c r="D50" s="251">
        <v>80</v>
      </c>
      <c r="E50" s="251">
        <v>22</v>
      </c>
      <c r="F50" s="251">
        <v>14923.1</v>
      </c>
      <c r="G50" s="251">
        <v>470</v>
      </c>
      <c r="H50" s="251">
        <v>0.2</v>
      </c>
      <c r="I50" s="252">
        <f t="shared" si="2"/>
        <v>2068</v>
      </c>
      <c r="J50" s="251">
        <v>1.6</v>
      </c>
      <c r="K50" s="252">
        <f t="shared" si="3"/>
        <v>16544</v>
      </c>
      <c r="L50" s="251" t="s">
        <v>53</v>
      </c>
      <c r="M50" s="253" t="s">
        <v>57</v>
      </c>
    </row>
    <row r="51" spans="1:13" ht="82.5" x14ac:dyDescent="0.7">
      <c r="A51" s="250" t="s">
        <v>101</v>
      </c>
      <c r="B51" s="251" t="s">
        <v>65</v>
      </c>
      <c r="C51" s="251" t="s">
        <v>4</v>
      </c>
      <c r="D51" s="251">
        <v>40</v>
      </c>
      <c r="E51" s="251">
        <v>11</v>
      </c>
      <c r="F51" s="251">
        <v>19186.7</v>
      </c>
      <c r="G51" s="251">
        <v>2353</v>
      </c>
      <c r="H51" s="251">
        <v>0.12</v>
      </c>
      <c r="I51" s="252">
        <f t="shared" si="2"/>
        <v>3105.96</v>
      </c>
      <c r="J51" s="251">
        <v>0</v>
      </c>
      <c r="K51" s="252">
        <f t="shared" si="3"/>
        <v>0</v>
      </c>
      <c r="L51" s="251" t="s">
        <v>53</v>
      </c>
      <c r="M51" s="253" t="s">
        <v>57</v>
      </c>
    </row>
    <row r="52" spans="1:13" ht="55" x14ac:dyDescent="0.7">
      <c r="A52" s="250" t="s">
        <v>59</v>
      </c>
      <c r="B52" s="251" t="s">
        <v>69</v>
      </c>
      <c r="C52" s="251" t="s">
        <v>61</v>
      </c>
      <c r="D52" s="251">
        <v>300</v>
      </c>
      <c r="E52" s="251">
        <v>59.6</v>
      </c>
      <c r="F52" s="251">
        <v>71.599999999999994</v>
      </c>
      <c r="G52" s="251">
        <v>0</v>
      </c>
      <c r="H52" s="251">
        <v>0</v>
      </c>
      <c r="I52" s="252">
        <f t="shared" si="2"/>
        <v>0</v>
      </c>
      <c r="J52" s="251">
        <v>0</v>
      </c>
      <c r="K52" s="252">
        <f t="shared" si="3"/>
        <v>0</v>
      </c>
      <c r="L52" s="251" t="s">
        <v>53</v>
      </c>
      <c r="M52" s="253" t="s">
        <v>54</v>
      </c>
    </row>
    <row r="53" spans="1:13" ht="55" x14ac:dyDescent="0.7">
      <c r="A53" s="250" t="s">
        <v>79</v>
      </c>
      <c r="B53" s="251" t="s">
        <v>69</v>
      </c>
      <c r="C53" s="251" t="s">
        <v>15</v>
      </c>
      <c r="D53" s="251">
        <v>15</v>
      </c>
      <c r="E53" s="251">
        <v>10</v>
      </c>
      <c r="F53" s="251">
        <v>8820.7999999999993</v>
      </c>
      <c r="G53" s="251">
        <v>875</v>
      </c>
      <c r="H53" s="251">
        <v>0.28000000000000003</v>
      </c>
      <c r="I53" s="252">
        <f t="shared" si="2"/>
        <v>2450.0000000000005</v>
      </c>
      <c r="J53" s="251">
        <v>0</v>
      </c>
      <c r="K53" s="252">
        <f t="shared" si="3"/>
        <v>0</v>
      </c>
      <c r="L53" s="251" t="s">
        <v>53</v>
      </c>
      <c r="M53" s="253" t="s">
        <v>54</v>
      </c>
    </row>
    <row r="54" spans="1:13" ht="55" x14ac:dyDescent="0.7">
      <c r="A54" s="250" t="s">
        <v>89</v>
      </c>
      <c r="B54" s="251" t="s">
        <v>69</v>
      </c>
      <c r="C54" s="251" t="s">
        <v>20</v>
      </c>
      <c r="D54" s="251">
        <v>120</v>
      </c>
      <c r="E54" s="251">
        <v>28.5</v>
      </c>
      <c r="F54" s="251">
        <v>19964.8</v>
      </c>
      <c r="G54" s="251">
        <v>470</v>
      </c>
      <c r="H54" s="251">
        <v>0.2</v>
      </c>
      <c r="I54" s="252">
        <f t="shared" si="2"/>
        <v>2679</v>
      </c>
      <c r="J54" s="251">
        <v>1.6</v>
      </c>
      <c r="K54" s="252">
        <f t="shared" si="3"/>
        <v>21432</v>
      </c>
      <c r="L54" s="251" t="s">
        <v>53</v>
      </c>
      <c r="M54" s="253" t="s">
        <v>57</v>
      </c>
    </row>
    <row r="55" spans="1:13" ht="55" x14ac:dyDescent="0.7">
      <c r="A55" s="250" t="s">
        <v>95</v>
      </c>
      <c r="B55" s="251" t="s">
        <v>104</v>
      </c>
      <c r="C55" s="251" t="s">
        <v>30</v>
      </c>
      <c r="D55" s="251">
        <v>200</v>
      </c>
      <c r="E55" s="251">
        <v>16.3</v>
      </c>
      <c r="F55" s="251">
        <v>38202.800000000003</v>
      </c>
      <c r="G55" s="251">
        <v>2375</v>
      </c>
      <c r="H55" s="251">
        <v>0.15</v>
      </c>
      <c r="I55" s="252">
        <f t="shared" si="2"/>
        <v>5806.875</v>
      </c>
      <c r="J55" s="251">
        <v>0</v>
      </c>
      <c r="K55" s="252">
        <f t="shared" si="3"/>
        <v>0</v>
      </c>
      <c r="L55" s="251" t="s">
        <v>53</v>
      </c>
      <c r="M55" s="253" t="s">
        <v>54</v>
      </c>
    </row>
    <row r="56" spans="1:13" ht="55" x14ac:dyDescent="0.7">
      <c r="A56" s="250" t="s">
        <v>95</v>
      </c>
      <c r="B56" s="251" t="s">
        <v>96</v>
      </c>
      <c r="C56" s="251" t="s">
        <v>30</v>
      </c>
      <c r="D56" s="251">
        <v>300</v>
      </c>
      <c r="E56" s="251">
        <v>3.8</v>
      </c>
      <c r="F56" s="251">
        <v>9014</v>
      </c>
      <c r="G56" s="251">
        <v>2375</v>
      </c>
      <c r="H56" s="251">
        <v>0.15</v>
      </c>
      <c r="I56" s="252">
        <f t="shared" si="2"/>
        <v>1353.75</v>
      </c>
      <c r="J56" s="251">
        <v>0</v>
      </c>
      <c r="K56" s="252">
        <f t="shared" si="3"/>
        <v>0</v>
      </c>
      <c r="L56" s="251" t="s">
        <v>53</v>
      </c>
      <c r="M56" s="253" t="s">
        <v>54</v>
      </c>
    </row>
    <row r="57" spans="1:13" ht="55" x14ac:dyDescent="0.7">
      <c r="A57" s="250" t="s">
        <v>50</v>
      </c>
      <c r="B57" s="251" t="s">
        <v>102</v>
      </c>
      <c r="C57" s="251" t="s">
        <v>52</v>
      </c>
      <c r="D57" s="251">
        <v>50</v>
      </c>
      <c r="E57" s="251">
        <v>43</v>
      </c>
      <c r="F57" s="251">
        <v>21801.3</v>
      </c>
      <c r="G57" s="251">
        <v>61</v>
      </c>
      <c r="H57" s="251">
        <v>1.5</v>
      </c>
      <c r="I57" s="252">
        <f t="shared" si="2"/>
        <v>3934.5</v>
      </c>
      <c r="J57" s="251">
        <v>0</v>
      </c>
      <c r="K57" s="252">
        <f t="shared" si="3"/>
        <v>0</v>
      </c>
      <c r="L57" s="251" t="s">
        <v>53</v>
      </c>
      <c r="M57" s="253" t="s">
        <v>54</v>
      </c>
    </row>
    <row r="58" spans="1:13" ht="55" x14ac:dyDescent="0.7">
      <c r="A58" s="250" t="s">
        <v>79</v>
      </c>
      <c r="B58" s="251" t="s">
        <v>102</v>
      </c>
      <c r="C58" s="251" t="s">
        <v>15</v>
      </c>
      <c r="D58" s="251">
        <v>15</v>
      </c>
      <c r="E58" s="251">
        <v>26</v>
      </c>
      <c r="F58" s="251">
        <v>20574.599999999999</v>
      </c>
      <c r="G58" s="251">
        <v>875</v>
      </c>
      <c r="H58" s="251">
        <v>0.28000000000000003</v>
      </c>
      <c r="I58" s="252">
        <f t="shared" si="2"/>
        <v>6370.0000000000009</v>
      </c>
      <c r="J58" s="251">
        <v>0</v>
      </c>
      <c r="K58" s="252">
        <f t="shared" si="3"/>
        <v>0</v>
      </c>
      <c r="L58" s="251" t="s">
        <v>53</v>
      </c>
      <c r="M58" s="253" t="s">
        <v>57</v>
      </c>
    </row>
    <row r="59" spans="1:13" ht="55" x14ac:dyDescent="0.7">
      <c r="A59" s="250" t="s">
        <v>89</v>
      </c>
      <c r="B59" s="251" t="s">
        <v>102</v>
      </c>
      <c r="C59" s="251" t="s">
        <v>20</v>
      </c>
      <c r="D59" s="251">
        <v>80</v>
      </c>
      <c r="E59" s="251">
        <v>137.6</v>
      </c>
      <c r="F59" s="251">
        <v>97436.3</v>
      </c>
      <c r="G59" s="251">
        <v>470</v>
      </c>
      <c r="H59" s="251">
        <v>0.2</v>
      </c>
      <c r="I59" s="252">
        <f t="shared" si="2"/>
        <v>12934.400000000001</v>
      </c>
      <c r="J59" s="251">
        <v>1.6</v>
      </c>
      <c r="K59" s="252">
        <f t="shared" si="3"/>
        <v>103475.20000000001</v>
      </c>
      <c r="L59" s="251" t="s">
        <v>53</v>
      </c>
      <c r="M59" s="253" t="s">
        <v>54</v>
      </c>
    </row>
    <row r="60" spans="1:13" ht="82.5" x14ac:dyDescent="0.7">
      <c r="A60" s="250" t="s">
        <v>59</v>
      </c>
      <c r="B60" s="251" t="s">
        <v>63</v>
      </c>
      <c r="C60" s="251" t="s">
        <v>61</v>
      </c>
      <c r="D60" s="251">
        <v>20</v>
      </c>
      <c r="E60" s="251">
        <v>5.0999999999999996</v>
      </c>
      <c r="F60" s="251">
        <v>5.4</v>
      </c>
      <c r="G60" s="251">
        <v>0</v>
      </c>
      <c r="H60" s="251">
        <v>0</v>
      </c>
      <c r="I60" s="252">
        <f t="shared" si="2"/>
        <v>0</v>
      </c>
      <c r="J60" s="251">
        <v>0</v>
      </c>
      <c r="K60" s="252">
        <f t="shared" si="3"/>
        <v>0</v>
      </c>
      <c r="L60" s="251" t="s">
        <v>53</v>
      </c>
      <c r="M60" s="253" t="s">
        <v>54</v>
      </c>
    </row>
    <row r="61" spans="1:13" ht="82.5" x14ac:dyDescent="0.7">
      <c r="A61" s="250" t="s">
        <v>50</v>
      </c>
      <c r="B61" s="251" t="s">
        <v>63</v>
      </c>
      <c r="C61" s="251" t="s">
        <v>52</v>
      </c>
      <c r="D61" s="251">
        <v>68</v>
      </c>
      <c r="E61" s="251">
        <v>16.600000000000001</v>
      </c>
      <c r="F61" s="251">
        <v>8027.3</v>
      </c>
      <c r="G61" s="251">
        <v>61</v>
      </c>
      <c r="H61" s="251">
        <v>1.5</v>
      </c>
      <c r="I61" s="252">
        <f t="shared" si="2"/>
        <v>1518.9</v>
      </c>
      <c r="J61" s="251">
        <v>0</v>
      </c>
      <c r="K61" s="252">
        <f t="shared" si="3"/>
        <v>0</v>
      </c>
      <c r="L61" s="251" t="s">
        <v>53</v>
      </c>
      <c r="M61" s="253" t="s">
        <v>54</v>
      </c>
    </row>
    <row r="62" spans="1:13" ht="82.5" x14ac:dyDescent="0.7">
      <c r="A62" s="250" t="s">
        <v>89</v>
      </c>
      <c r="B62" s="251" t="s">
        <v>63</v>
      </c>
      <c r="C62" s="251" t="s">
        <v>20</v>
      </c>
      <c r="D62" s="251">
        <v>80</v>
      </c>
      <c r="E62" s="251">
        <v>19</v>
      </c>
      <c r="F62" s="251">
        <v>13420.7</v>
      </c>
      <c r="G62" s="251">
        <v>470</v>
      </c>
      <c r="H62" s="251">
        <v>0.2</v>
      </c>
      <c r="I62" s="252">
        <f t="shared" si="2"/>
        <v>1786</v>
      </c>
      <c r="J62" s="251">
        <v>1.6</v>
      </c>
      <c r="K62" s="252">
        <f t="shared" si="3"/>
        <v>14288</v>
      </c>
      <c r="L62" s="251" t="s">
        <v>53</v>
      </c>
      <c r="M62" s="253" t="s">
        <v>54</v>
      </c>
    </row>
    <row r="63" spans="1:13" ht="82.5" x14ac:dyDescent="0.7">
      <c r="A63" s="250" t="s">
        <v>79</v>
      </c>
      <c r="B63" s="251" t="s">
        <v>63</v>
      </c>
      <c r="C63" s="251" t="s">
        <v>15</v>
      </c>
      <c r="D63" s="251">
        <v>15</v>
      </c>
      <c r="E63" s="251">
        <v>8.3000000000000007</v>
      </c>
      <c r="F63" s="251">
        <v>8365.4</v>
      </c>
      <c r="G63" s="251">
        <v>875</v>
      </c>
      <c r="H63" s="251">
        <v>0.28000000000000003</v>
      </c>
      <c r="I63" s="252">
        <f t="shared" si="2"/>
        <v>2033.5000000000005</v>
      </c>
      <c r="J63" s="251">
        <v>0</v>
      </c>
      <c r="K63" s="252">
        <f t="shared" si="3"/>
        <v>0</v>
      </c>
      <c r="L63" s="251" t="s">
        <v>53</v>
      </c>
      <c r="M63" s="253" t="s">
        <v>57</v>
      </c>
    </row>
    <row r="64" spans="1:13" ht="82.5" x14ac:dyDescent="0.7">
      <c r="A64" s="250" t="s">
        <v>79</v>
      </c>
      <c r="B64" s="251" t="s">
        <v>93</v>
      </c>
      <c r="C64" s="251" t="s">
        <v>15</v>
      </c>
      <c r="D64" s="251">
        <v>15</v>
      </c>
      <c r="E64" s="251">
        <v>7</v>
      </c>
      <c r="F64" s="251">
        <v>8146.8</v>
      </c>
      <c r="G64" s="251">
        <v>875</v>
      </c>
      <c r="H64" s="251">
        <v>0.28000000000000003</v>
      </c>
      <c r="I64" s="252">
        <f t="shared" si="2"/>
        <v>1715.0000000000002</v>
      </c>
      <c r="J64" s="251">
        <v>0</v>
      </c>
      <c r="K64" s="252">
        <f t="shared" si="3"/>
        <v>0</v>
      </c>
      <c r="L64" s="251" t="s">
        <v>53</v>
      </c>
      <c r="M64" s="253" t="s">
        <v>57</v>
      </c>
    </row>
    <row r="65" spans="1:13" ht="82.5" x14ac:dyDescent="0.7">
      <c r="A65" s="250" t="s">
        <v>50</v>
      </c>
      <c r="B65" s="251" t="s">
        <v>93</v>
      </c>
      <c r="C65" s="251" t="s">
        <v>52</v>
      </c>
      <c r="D65" s="251">
        <v>66</v>
      </c>
      <c r="E65" s="251">
        <v>19.399999999999999</v>
      </c>
      <c r="F65" s="251">
        <v>10417.200000000001</v>
      </c>
      <c r="G65" s="251">
        <v>61</v>
      </c>
      <c r="H65" s="251">
        <v>1.5</v>
      </c>
      <c r="I65" s="252">
        <f t="shared" si="2"/>
        <v>1775.1</v>
      </c>
      <c r="J65" s="251">
        <v>0</v>
      </c>
      <c r="K65" s="252">
        <f t="shared" si="3"/>
        <v>0</v>
      </c>
      <c r="L65" s="251" t="s">
        <v>53</v>
      </c>
      <c r="M65" s="253" t="s">
        <v>54</v>
      </c>
    </row>
    <row r="66" spans="1:13" ht="110" x14ac:dyDescent="0.7">
      <c r="A66" s="250" t="s">
        <v>79</v>
      </c>
      <c r="B66" s="251" t="s">
        <v>85</v>
      </c>
      <c r="C66" s="251" t="s">
        <v>15</v>
      </c>
      <c r="D66" s="251">
        <v>15</v>
      </c>
      <c r="E66" s="251">
        <v>3.5</v>
      </c>
      <c r="F66" s="251">
        <v>3583.7</v>
      </c>
      <c r="G66" s="251">
        <v>875</v>
      </c>
      <c r="H66" s="251">
        <v>0.28000000000000003</v>
      </c>
      <c r="I66" s="254">
        <f t="shared" si="2"/>
        <v>857.50000000000011</v>
      </c>
      <c r="J66" s="251">
        <v>0</v>
      </c>
      <c r="K66" s="252">
        <f t="shared" si="3"/>
        <v>0</v>
      </c>
      <c r="L66" s="251" t="s">
        <v>53</v>
      </c>
      <c r="M66" s="253" t="s">
        <v>57</v>
      </c>
    </row>
    <row r="67" spans="1:13" ht="110" x14ac:dyDescent="0.7">
      <c r="A67" s="250" t="s">
        <v>79</v>
      </c>
      <c r="B67" s="251" t="s">
        <v>85</v>
      </c>
      <c r="C67" s="251" t="s">
        <v>15</v>
      </c>
      <c r="D67" s="251">
        <v>15</v>
      </c>
      <c r="E67" s="251">
        <v>3.5</v>
      </c>
      <c r="F67" s="251">
        <v>3191.2</v>
      </c>
      <c r="G67" s="251">
        <v>875</v>
      </c>
      <c r="H67" s="251">
        <v>0.28000000000000003</v>
      </c>
      <c r="I67" s="252">
        <f t="shared" si="2"/>
        <v>857.50000000000011</v>
      </c>
      <c r="J67" s="251">
        <v>0</v>
      </c>
      <c r="K67" s="252">
        <f t="shared" si="3"/>
        <v>0</v>
      </c>
      <c r="L67" s="251" t="s">
        <v>53</v>
      </c>
      <c r="M67" s="253" t="s">
        <v>54</v>
      </c>
    </row>
    <row r="68" spans="1:13" ht="110" x14ac:dyDescent="0.7">
      <c r="A68" s="250" t="s">
        <v>89</v>
      </c>
      <c r="B68" s="251" t="s">
        <v>85</v>
      </c>
      <c r="C68" s="251" t="s">
        <v>20</v>
      </c>
      <c r="D68" s="251">
        <v>80</v>
      </c>
      <c r="E68" s="251">
        <v>23.1</v>
      </c>
      <c r="F68" s="251">
        <v>15650.7</v>
      </c>
      <c r="G68" s="251">
        <v>470</v>
      </c>
      <c r="H68" s="251">
        <v>0.2</v>
      </c>
      <c r="I68" s="252">
        <f t="shared" si="2"/>
        <v>2171.4</v>
      </c>
      <c r="J68" s="251">
        <v>1.6</v>
      </c>
      <c r="K68" s="252">
        <f t="shared" si="3"/>
        <v>17371.2</v>
      </c>
      <c r="L68" s="251" t="s">
        <v>53</v>
      </c>
      <c r="M68" s="253" t="s">
        <v>57</v>
      </c>
    </row>
    <row r="69" spans="1:13" ht="55" x14ac:dyDescent="0.7">
      <c r="A69" s="250" t="s">
        <v>79</v>
      </c>
      <c r="B69" s="251" t="s">
        <v>80</v>
      </c>
      <c r="C69" s="251" t="s">
        <v>15</v>
      </c>
      <c r="D69" s="251">
        <v>15</v>
      </c>
      <c r="E69" s="251">
        <v>1.8</v>
      </c>
      <c r="F69" s="251">
        <v>1513.7</v>
      </c>
      <c r="G69" s="251">
        <v>875</v>
      </c>
      <c r="H69" s="251">
        <v>0.28000000000000003</v>
      </c>
      <c r="I69" s="254">
        <f t="shared" si="2"/>
        <v>441.00000000000006</v>
      </c>
      <c r="J69" s="251">
        <v>0</v>
      </c>
      <c r="K69" s="252">
        <f t="shared" si="3"/>
        <v>0</v>
      </c>
      <c r="L69" s="251" t="s">
        <v>53</v>
      </c>
      <c r="M69" s="253" t="s">
        <v>57</v>
      </c>
    </row>
    <row r="70" spans="1:13" ht="55" x14ac:dyDescent="0.7">
      <c r="A70" s="250" t="s">
        <v>79</v>
      </c>
      <c r="B70" s="251" t="s">
        <v>80</v>
      </c>
      <c r="C70" s="251" t="s">
        <v>15</v>
      </c>
      <c r="D70" s="251">
        <v>15</v>
      </c>
      <c r="E70" s="251">
        <v>1.8</v>
      </c>
      <c r="F70" s="251">
        <v>1403.6</v>
      </c>
      <c r="G70" s="251">
        <v>875</v>
      </c>
      <c r="H70" s="251">
        <v>0.28000000000000003</v>
      </c>
      <c r="I70" s="254">
        <f t="shared" ref="I70:I85" si="4">(G70*E70)*H70</f>
        <v>441.00000000000006</v>
      </c>
      <c r="J70" s="251">
        <v>0</v>
      </c>
      <c r="K70" s="252">
        <f t="shared" ref="K70:K85" si="5">(G70*E70)*J70</f>
        <v>0</v>
      </c>
      <c r="L70" s="251" t="s">
        <v>53</v>
      </c>
      <c r="M70" s="253" t="s">
        <v>54</v>
      </c>
    </row>
    <row r="71" spans="1:13" ht="55" x14ac:dyDescent="0.7">
      <c r="A71" s="250" t="s">
        <v>89</v>
      </c>
      <c r="B71" s="251" t="s">
        <v>80</v>
      </c>
      <c r="C71" s="251" t="s">
        <v>20</v>
      </c>
      <c r="D71" s="251">
        <v>80</v>
      </c>
      <c r="E71" s="251">
        <v>8.6</v>
      </c>
      <c r="F71" s="251">
        <v>6086.4</v>
      </c>
      <c r="G71" s="251">
        <v>470</v>
      </c>
      <c r="H71" s="251">
        <v>0.2</v>
      </c>
      <c r="I71" s="254">
        <f t="shared" si="4"/>
        <v>808.40000000000009</v>
      </c>
      <c r="J71" s="251">
        <v>1.6</v>
      </c>
      <c r="K71" s="252">
        <f t="shared" si="5"/>
        <v>6467.2000000000007</v>
      </c>
      <c r="L71" s="251" t="s">
        <v>53</v>
      </c>
      <c r="M71" s="253" t="s">
        <v>54</v>
      </c>
    </row>
    <row r="72" spans="1:13" ht="82.5" x14ac:dyDescent="0.7">
      <c r="A72" s="250" t="s">
        <v>59</v>
      </c>
      <c r="B72" s="251" t="s">
        <v>62</v>
      </c>
      <c r="C72" s="251" t="s">
        <v>61</v>
      </c>
      <c r="D72" s="251">
        <v>20</v>
      </c>
      <c r="E72" s="251">
        <v>4.2</v>
      </c>
      <c r="F72" s="251">
        <v>5.3</v>
      </c>
      <c r="G72" s="251">
        <v>0</v>
      </c>
      <c r="H72" s="251">
        <v>0</v>
      </c>
      <c r="I72" s="252">
        <f t="shared" si="4"/>
        <v>0</v>
      </c>
      <c r="J72" s="251">
        <v>0</v>
      </c>
      <c r="K72" s="252">
        <f t="shared" si="5"/>
        <v>0</v>
      </c>
      <c r="L72" s="251" t="s">
        <v>53</v>
      </c>
      <c r="M72" s="253" t="s">
        <v>57</v>
      </c>
    </row>
    <row r="73" spans="1:13" ht="82.5" x14ac:dyDescent="0.7">
      <c r="A73" s="250" t="s">
        <v>79</v>
      </c>
      <c r="B73" s="251" t="s">
        <v>62</v>
      </c>
      <c r="C73" s="251" t="s">
        <v>15</v>
      </c>
      <c r="D73" s="251">
        <v>15</v>
      </c>
      <c r="E73" s="251">
        <v>3</v>
      </c>
      <c r="F73" s="251">
        <v>2582.4</v>
      </c>
      <c r="G73" s="251">
        <v>875</v>
      </c>
      <c r="H73" s="251">
        <v>0.28000000000000003</v>
      </c>
      <c r="I73" s="254">
        <f t="shared" si="4"/>
        <v>735.00000000000011</v>
      </c>
      <c r="J73" s="251">
        <v>0</v>
      </c>
      <c r="K73" s="252">
        <f t="shared" si="5"/>
        <v>0</v>
      </c>
      <c r="L73" s="251" t="s">
        <v>53</v>
      </c>
      <c r="M73" s="253" t="s">
        <v>54</v>
      </c>
    </row>
    <row r="74" spans="1:13" ht="82.5" x14ac:dyDescent="0.7">
      <c r="A74" s="250" t="s">
        <v>79</v>
      </c>
      <c r="B74" s="251" t="s">
        <v>62</v>
      </c>
      <c r="C74" s="251" t="s">
        <v>15</v>
      </c>
      <c r="D74" s="251">
        <v>15</v>
      </c>
      <c r="E74" s="251">
        <v>6</v>
      </c>
      <c r="F74" s="251">
        <v>5815.3</v>
      </c>
      <c r="G74" s="251">
        <v>875</v>
      </c>
      <c r="H74" s="251">
        <v>0.28000000000000003</v>
      </c>
      <c r="I74" s="252">
        <f t="shared" si="4"/>
        <v>1470.0000000000002</v>
      </c>
      <c r="J74" s="251">
        <v>0</v>
      </c>
      <c r="K74" s="252">
        <f t="shared" si="5"/>
        <v>0</v>
      </c>
      <c r="L74" s="251" t="s">
        <v>53</v>
      </c>
      <c r="M74" s="253" t="s">
        <v>57</v>
      </c>
    </row>
    <row r="75" spans="1:13" ht="82.5" x14ac:dyDescent="0.7">
      <c r="A75" s="250" t="s">
        <v>89</v>
      </c>
      <c r="B75" s="251" t="s">
        <v>62</v>
      </c>
      <c r="C75" s="251" t="s">
        <v>20</v>
      </c>
      <c r="D75" s="251">
        <v>80</v>
      </c>
      <c r="E75" s="251">
        <v>16.399999999999999</v>
      </c>
      <c r="F75" s="251">
        <v>11803.5</v>
      </c>
      <c r="G75" s="251">
        <v>470</v>
      </c>
      <c r="H75" s="251">
        <v>0.2</v>
      </c>
      <c r="I75" s="252">
        <f t="shared" si="4"/>
        <v>1541.6</v>
      </c>
      <c r="J75" s="251">
        <v>1.6</v>
      </c>
      <c r="K75" s="252">
        <f t="shared" si="5"/>
        <v>12332.8</v>
      </c>
      <c r="L75" s="251" t="s">
        <v>53</v>
      </c>
      <c r="M75" s="253" t="s">
        <v>57</v>
      </c>
    </row>
    <row r="76" spans="1:13" ht="82.5" x14ac:dyDescent="0.7">
      <c r="A76" s="250" t="s">
        <v>50</v>
      </c>
      <c r="B76" s="251" t="s">
        <v>62</v>
      </c>
      <c r="C76" s="251" t="s">
        <v>52</v>
      </c>
      <c r="D76" s="251">
        <v>98</v>
      </c>
      <c r="E76" s="251">
        <v>21.6</v>
      </c>
      <c r="F76" s="251">
        <v>10568.4</v>
      </c>
      <c r="G76" s="251">
        <v>61</v>
      </c>
      <c r="H76" s="251">
        <v>1.5</v>
      </c>
      <c r="I76" s="252">
        <f t="shared" si="4"/>
        <v>1976.4</v>
      </c>
      <c r="J76" s="251">
        <v>0</v>
      </c>
      <c r="K76" s="252">
        <f t="shared" si="5"/>
        <v>0</v>
      </c>
      <c r="L76" s="251" t="s">
        <v>53</v>
      </c>
      <c r="M76" s="253" t="s">
        <v>57</v>
      </c>
    </row>
    <row r="77" spans="1:13" ht="55" x14ac:dyDescent="0.7">
      <c r="A77" s="250" t="s">
        <v>79</v>
      </c>
      <c r="B77" s="251" t="s">
        <v>97</v>
      </c>
      <c r="C77" s="251" t="s">
        <v>15</v>
      </c>
      <c r="D77" s="251">
        <v>13</v>
      </c>
      <c r="E77" s="251">
        <v>16.5</v>
      </c>
      <c r="F77" s="251">
        <v>11922.9</v>
      </c>
      <c r="G77" s="251">
        <v>875</v>
      </c>
      <c r="H77" s="251">
        <v>0.28000000000000003</v>
      </c>
      <c r="I77" s="252">
        <f t="shared" si="4"/>
        <v>4042.5000000000005</v>
      </c>
      <c r="J77" s="251">
        <v>0</v>
      </c>
      <c r="K77" s="252">
        <f t="shared" si="5"/>
        <v>0</v>
      </c>
      <c r="L77" s="251" t="s">
        <v>53</v>
      </c>
      <c r="M77" s="253" t="s">
        <v>54</v>
      </c>
    </row>
    <row r="78" spans="1:13" ht="55" x14ac:dyDescent="0.7">
      <c r="A78" s="250" t="s">
        <v>79</v>
      </c>
      <c r="B78" s="251" t="s">
        <v>97</v>
      </c>
      <c r="C78" s="251" t="s">
        <v>15</v>
      </c>
      <c r="D78" s="251">
        <v>13</v>
      </c>
      <c r="E78" s="251">
        <v>16.5</v>
      </c>
      <c r="F78" s="251">
        <v>12982.8</v>
      </c>
      <c r="G78" s="251">
        <v>875</v>
      </c>
      <c r="H78" s="251">
        <v>0.28000000000000003</v>
      </c>
      <c r="I78" s="252">
        <f t="shared" si="4"/>
        <v>4042.5000000000005</v>
      </c>
      <c r="J78" s="251">
        <v>0</v>
      </c>
      <c r="K78" s="252">
        <f t="shared" si="5"/>
        <v>0</v>
      </c>
      <c r="L78" s="251" t="s">
        <v>53</v>
      </c>
      <c r="M78" s="253" t="s">
        <v>57</v>
      </c>
    </row>
    <row r="79" spans="1:13" ht="55" x14ac:dyDescent="0.7">
      <c r="A79" s="250" t="s">
        <v>50</v>
      </c>
      <c r="B79" s="251" t="s">
        <v>97</v>
      </c>
      <c r="C79" s="251" t="s">
        <v>52</v>
      </c>
      <c r="D79" s="251">
        <v>66</v>
      </c>
      <c r="E79" s="251">
        <v>71.5</v>
      </c>
      <c r="F79" s="251">
        <v>35262.9</v>
      </c>
      <c r="G79" s="251">
        <v>61</v>
      </c>
      <c r="H79" s="251">
        <v>1.5</v>
      </c>
      <c r="I79" s="252">
        <f t="shared" si="4"/>
        <v>6542.25</v>
      </c>
      <c r="J79" s="251">
        <v>0</v>
      </c>
      <c r="K79" s="252">
        <f t="shared" si="5"/>
        <v>0</v>
      </c>
      <c r="L79" s="251" t="s">
        <v>53</v>
      </c>
      <c r="M79" s="253" t="s">
        <v>54</v>
      </c>
    </row>
    <row r="80" spans="1:13" ht="55" x14ac:dyDescent="0.7">
      <c r="A80" s="250" t="s">
        <v>58</v>
      </c>
      <c r="B80" s="251" t="s">
        <v>105</v>
      </c>
      <c r="C80" s="251" t="s">
        <v>32</v>
      </c>
      <c r="D80" s="251">
        <v>300</v>
      </c>
      <c r="E80" s="251">
        <v>24</v>
      </c>
      <c r="F80" s="251">
        <v>57635.5</v>
      </c>
      <c r="G80" s="251">
        <v>2400</v>
      </c>
      <c r="H80" s="251">
        <v>0.19</v>
      </c>
      <c r="I80" s="252">
        <f t="shared" si="4"/>
        <v>10944</v>
      </c>
      <c r="J80" s="251">
        <v>0</v>
      </c>
      <c r="K80" s="252">
        <f t="shared" si="5"/>
        <v>0</v>
      </c>
      <c r="L80" s="251" t="s">
        <v>53</v>
      </c>
      <c r="M80" s="253" t="s">
        <v>57</v>
      </c>
    </row>
    <row r="81" spans="1:13" ht="55" x14ac:dyDescent="0.7">
      <c r="A81" s="250" t="s">
        <v>58</v>
      </c>
      <c r="B81" s="251" t="s">
        <v>103</v>
      </c>
      <c r="C81" s="251" t="s">
        <v>32</v>
      </c>
      <c r="D81" s="251">
        <v>300</v>
      </c>
      <c r="E81" s="251">
        <v>15</v>
      </c>
      <c r="F81" s="251">
        <v>36148.300000000003</v>
      </c>
      <c r="G81" s="251">
        <v>2400</v>
      </c>
      <c r="H81" s="251">
        <v>0.19</v>
      </c>
      <c r="I81" s="252">
        <f t="shared" si="4"/>
        <v>6840</v>
      </c>
      <c r="J81" s="251">
        <v>0</v>
      </c>
      <c r="K81" s="252">
        <f t="shared" si="5"/>
        <v>0</v>
      </c>
      <c r="L81" s="251" t="s">
        <v>53</v>
      </c>
      <c r="M81" s="253" t="s">
        <v>54</v>
      </c>
    </row>
    <row r="82" spans="1:13" ht="55" x14ac:dyDescent="0.7">
      <c r="A82" s="250" t="s">
        <v>58</v>
      </c>
      <c r="B82" s="251" t="s">
        <v>108</v>
      </c>
      <c r="C82" s="251" t="s">
        <v>32</v>
      </c>
      <c r="D82" s="251">
        <v>200</v>
      </c>
      <c r="E82" s="251">
        <v>64.2</v>
      </c>
      <c r="F82" s="251">
        <v>153606.1</v>
      </c>
      <c r="G82" s="251">
        <v>2400</v>
      </c>
      <c r="H82" s="251">
        <v>0.19</v>
      </c>
      <c r="I82" s="252">
        <f t="shared" si="4"/>
        <v>29275.200000000001</v>
      </c>
      <c r="J82" s="251">
        <v>0</v>
      </c>
      <c r="K82" s="252">
        <f t="shared" si="5"/>
        <v>0</v>
      </c>
      <c r="L82" s="251" t="s">
        <v>53</v>
      </c>
      <c r="M82" s="253" t="s">
        <v>57</v>
      </c>
    </row>
    <row r="83" spans="1:13" ht="55" x14ac:dyDescent="0.7">
      <c r="A83" s="250" t="s">
        <v>98</v>
      </c>
      <c r="B83" s="251" t="s">
        <v>99</v>
      </c>
      <c r="C83" s="251" t="s">
        <v>100</v>
      </c>
      <c r="D83" s="251">
        <v>125</v>
      </c>
      <c r="E83" s="251">
        <v>11.4</v>
      </c>
      <c r="F83" s="251">
        <v>16007.9</v>
      </c>
      <c r="G83" s="251">
        <v>644</v>
      </c>
      <c r="H83" s="251">
        <v>0.26</v>
      </c>
      <c r="I83" s="252">
        <f t="shared" si="4"/>
        <v>1908.8160000000003</v>
      </c>
      <c r="J83" s="251">
        <v>0</v>
      </c>
      <c r="K83" s="252">
        <f t="shared" si="5"/>
        <v>0</v>
      </c>
      <c r="L83" s="251" t="s">
        <v>53</v>
      </c>
      <c r="M83" s="253" t="s">
        <v>57</v>
      </c>
    </row>
    <row r="84" spans="1:13" ht="55" x14ac:dyDescent="0.7">
      <c r="A84" s="250" t="s">
        <v>89</v>
      </c>
      <c r="B84" s="251" t="s">
        <v>92</v>
      </c>
      <c r="C84" s="251" t="s">
        <v>20</v>
      </c>
      <c r="D84" s="251">
        <v>80</v>
      </c>
      <c r="E84" s="251">
        <v>34.6</v>
      </c>
      <c r="F84" s="251">
        <v>24226.7</v>
      </c>
      <c r="G84" s="251">
        <v>470</v>
      </c>
      <c r="H84" s="251">
        <v>0.2</v>
      </c>
      <c r="I84" s="252">
        <f t="shared" si="4"/>
        <v>3252.4</v>
      </c>
      <c r="J84" s="251">
        <v>1.6</v>
      </c>
      <c r="K84" s="252">
        <f t="shared" si="5"/>
        <v>26019.200000000001</v>
      </c>
      <c r="L84" s="251" t="s">
        <v>53</v>
      </c>
      <c r="M84" s="253" t="s">
        <v>54</v>
      </c>
    </row>
    <row r="85" spans="1:13" ht="82.5" x14ac:dyDescent="0.7">
      <c r="A85" s="250" t="s">
        <v>75</v>
      </c>
      <c r="B85" s="251" t="s">
        <v>92</v>
      </c>
      <c r="C85" s="251" t="s">
        <v>76</v>
      </c>
      <c r="D85" s="251">
        <v>450</v>
      </c>
      <c r="E85" s="251">
        <v>194.7</v>
      </c>
      <c r="F85" s="251">
        <v>7787.1</v>
      </c>
      <c r="G85" s="251">
        <v>33</v>
      </c>
      <c r="H85" s="251">
        <v>1.5</v>
      </c>
      <c r="I85" s="252">
        <f t="shared" si="4"/>
        <v>9637.65</v>
      </c>
      <c r="J85" s="251">
        <v>0</v>
      </c>
      <c r="K85" s="252">
        <f t="shared" si="5"/>
        <v>0</v>
      </c>
      <c r="L85" s="251" t="s">
        <v>53</v>
      </c>
      <c r="M85" s="253" t="s">
        <v>57</v>
      </c>
    </row>
    <row r="86" spans="1:13" ht="27.5" x14ac:dyDescent="0.55000000000000004">
      <c r="A86" s="205" t="s">
        <v>109</v>
      </c>
      <c r="B86" s="205" t="s">
        <v>109</v>
      </c>
      <c r="C86" s="205" t="s">
        <v>109</v>
      </c>
      <c r="D86" s="205" t="s">
        <v>109</v>
      </c>
      <c r="E86" s="205">
        <v>4378</v>
      </c>
      <c r="F86" s="205" t="s">
        <v>109</v>
      </c>
      <c r="G86" s="205" t="s">
        <v>109</v>
      </c>
      <c r="H86" s="205">
        <v>4378</v>
      </c>
      <c r="I86" s="202">
        <f>SUM(I6:I85)</f>
        <v>366158.56300000014</v>
      </c>
      <c r="J86" s="202">
        <f t="shared" ref="J86:K86" si="6">SUM(J6:J85)</f>
        <v>26.500000000000007</v>
      </c>
      <c r="K86" s="202">
        <f t="shared" si="6"/>
        <v>536279.26</v>
      </c>
      <c r="L86" s="205" t="s">
        <v>109</v>
      </c>
      <c r="M86" s="205" t="s">
        <v>109</v>
      </c>
    </row>
    <row r="87" spans="1:13" ht="24.5" x14ac:dyDescent="0.55000000000000004">
      <c r="A87" s="202"/>
      <c r="B87" s="202"/>
      <c r="C87" s="202"/>
      <c r="D87" s="202"/>
      <c r="E87" s="202"/>
      <c r="F87" s="202"/>
      <c r="G87" s="202"/>
      <c r="H87" s="202"/>
      <c r="I87" s="202"/>
      <c r="J87" s="202"/>
      <c r="K87" s="202"/>
      <c r="L87" s="202"/>
      <c r="M87" s="202"/>
    </row>
    <row r="88" spans="1:13" ht="24.5" x14ac:dyDescent="0.55000000000000004">
      <c r="A88" s="202"/>
      <c r="B88" s="202"/>
      <c r="C88" s="202"/>
      <c r="D88" s="202"/>
      <c r="E88" s="202"/>
      <c r="F88" s="202"/>
      <c r="G88" s="202"/>
      <c r="H88" s="202"/>
      <c r="I88" s="202"/>
      <c r="J88" s="209">
        <f>I86-K86</f>
        <v>-170120.69699999987</v>
      </c>
      <c r="K88" s="202" t="s">
        <v>44</v>
      </c>
      <c r="L88" s="202"/>
      <c r="M88" s="202"/>
    </row>
    <row r="89" spans="1:13" ht="24.5" x14ac:dyDescent="0.55000000000000004">
      <c r="A89" s="202"/>
      <c r="B89" s="202"/>
      <c r="C89" s="202"/>
      <c r="D89" s="202"/>
      <c r="E89" s="202"/>
      <c r="F89" s="202"/>
      <c r="G89" s="202"/>
      <c r="H89" s="202"/>
      <c r="I89" s="202"/>
      <c r="J89" s="209">
        <f>J88/1000</f>
        <v>-170.12069699999986</v>
      </c>
      <c r="K89" s="202" t="s">
        <v>110</v>
      </c>
      <c r="L89" s="202"/>
      <c r="M89" s="202"/>
    </row>
    <row r="102" spans="1:14" ht="137.5" x14ac:dyDescent="0.35">
      <c r="A102" s="203" t="s">
        <v>36</v>
      </c>
      <c r="B102" s="203" t="s">
        <v>37</v>
      </c>
      <c r="C102" s="203" t="s">
        <v>38</v>
      </c>
      <c r="D102" s="203" t="s">
        <v>39</v>
      </c>
      <c r="E102" s="203" t="s">
        <v>40</v>
      </c>
      <c r="F102" s="203" t="s">
        <v>41</v>
      </c>
      <c r="G102" s="203" t="s">
        <v>42</v>
      </c>
      <c r="H102" s="203" t="s">
        <v>43</v>
      </c>
      <c r="J102" s="203" t="s">
        <v>45</v>
      </c>
      <c r="L102" s="203" t="s">
        <v>46</v>
      </c>
      <c r="M102" s="203" t="s">
        <v>47</v>
      </c>
    </row>
    <row r="103" spans="1:14" ht="55" x14ac:dyDescent="0.7">
      <c r="A103" s="251" t="s">
        <v>50</v>
      </c>
      <c r="B103" s="251" t="s">
        <v>122</v>
      </c>
      <c r="C103" s="251" t="s">
        <v>52</v>
      </c>
      <c r="D103" s="251">
        <v>220</v>
      </c>
      <c r="E103" s="251">
        <v>238</v>
      </c>
      <c r="F103" s="251">
        <v>119034</v>
      </c>
      <c r="G103" s="251">
        <v>61</v>
      </c>
      <c r="H103" s="251">
        <v>1.5</v>
      </c>
      <c r="I103" s="255">
        <f>(G103*E103)*H103</f>
        <v>21777</v>
      </c>
      <c r="J103" s="251">
        <v>0</v>
      </c>
      <c r="K103" s="255">
        <f>(G103*E103)*J103</f>
        <v>0</v>
      </c>
      <c r="L103" s="251" t="s">
        <v>53</v>
      </c>
      <c r="M103" s="251" t="s">
        <v>54</v>
      </c>
    </row>
    <row r="104" spans="1:14" ht="55" x14ac:dyDescent="0.7">
      <c r="A104" s="251" t="s">
        <v>89</v>
      </c>
      <c r="B104" s="251" t="s">
        <v>122</v>
      </c>
      <c r="C104" s="251" t="s">
        <v>20</v>
      </c>
      <c r="D104" s="251">
        <v>120</v>
      </c>
      <c r="E104" s="251">
        <v>127</v>
      </c>
      <c r="F104" s="251">
        <v>89091.5</v>
      </c>
      <c r="G104" s="251">
        <v>470</v>
      </c>
      <c r="H104" s="251">
        <v>0.2</v>
      </c>
      <c r="I104" s="255">
        <f>(G104*E104)*H104</f>
        <v>11938</v>
      </c>
      <c r="J104" s="251">
        <v>1.6</v>
      </c>
      <c r="K104" s="255">
        <f>(G104*E104)*J104</f>
        <v>95504</v>
      </c>
      <c r="L104" s="251" t="s">
        <v>53</v>
      </c>
      <c r="M104" s="251" t="s">
        <v>54</v>
      </c>
    </row>
    <row r="105" spans="1:14" ht="27.5" x14ac:dyDescent="0.7">
      <c r="A105" s="251"/>
      <c r="B105" s="251"/>
      <c r="C105" s="251"/>
      <c r="D105" s="251"/>
      <c r="E105" s="251"/>
      <c r="F105" s="251"/>
      <c r="G105" s="251"/>
      <c r="H105" s="251"/>
      <c r="I105" s="255"/>
      <c r="J105" s="251"/>
      <c r="K105" s="255"/>
      <c r="L105" s="251"/>
      <c r="M105" s="251"/>
    </row>
    <row r="106" spans="1:14" ht="55" x14ac:dyDescent="0.7">
      <c r="A106" s="251" t="s">
        <v>79</v>
      </c>
      <c r="B106" s="251" t="s">
        <v>122</v>
      </c>
      <c r="C106" s="251" t="s">
        <v>15</v>
      </c>
      <c r="D106" s="251">
        <v>15</v>
      </c>
      <c r="E106" s="251">
        <v>12.4</v>
      </c>
      <c r="F106" s="251">
        <v>10979.1</v>
      </c>
      <c r="G106" s="251">
        <v>875</v>
      </c>
      <c r="H106" s="251">
        <v>0.28000000000000003</v>
      </c>
      <c r="I106" s="255">
        <f>(G106*E106)*H106</f>
        <v>3038.0000000000005</v>
      </c>
      <c r="J106" s="251">
        <v>0</v>
      </c>
      <c r="K106" s="255">
        <f>(G106*E106)*J106</f>
        <v>0</v>
      </c>
      <c r="L106" s="251" t="s">
        <v>53</v>
      </c>
      <c r="M106" s="251" t="s">
        <v>57</v>
      </c>
    </row>
    <row r="107" spans="1:14" ht="55" x14ac:dyDescent="0.7">
      <c r="A107" s="251" t="s">
        <v>78</v>
      </c>
      <c r="B107" s="251" t="s">
        <v>122</v>
      </c>
      <c r="C107" s="251" t="s">
        <v>26</v>
      </c>
      <c r="D107" s="251">
        <v>28</v>
      </c>
      <c r="E107" s="251">
        <v>31</v>
      </c>
      <c r="F107" s="251">
        <v>21581.5</v>
      </c>
      <c r="G107" s="251">
        <v>474</v>
      </c>
      <c r="H107" s="251">
        <v>0.09</v>
      </c>
      <c r="I107" s="255">
        <f>(G107*E107)*H107</f>
        <v>1322.46</v>
      </c>
      <c r="J107" s="251">
        <v>1.6</v>
      </c>
      <c r="K107" s="255">
        <f>(G107*E107)*J107</f>
        <v>23510.400000000001</v>
      </c>
      <c r="L107" s="251" t="s">
        <v>53</v>
      </c>
      <c r="M107" s="251" t="s">
        <v>57</v>
      </c>
    </row>
    <row r="109" spans="1:14" ht="55" x14ac:dyDescent="0.7">
      <c r="A109" s="251" t="s">
        <v>79</v>
      </c>
      <c r="B109" s="251" t="s">
        <v>97</v>
      </c>
      <c r="C109" s="251" t="s">
        <v>15</v>
      </c>
      <c r="D109" s="251">
        <v>13</v>
      </c>
      <c r="E109" s="251">
        <v>16.5</v>
      </c>
      <c r="F109" s="251">
        <v>11922.9</v>
      </c>
      <c r="G109" s="251">
        <v>875</v>
      </c>
      <c r="H109" s="251">
        <v>0.28000000000000003</v>
      </c>
      <c r="I109" s="255">
        <f t="shared" ref="I109:I131" si="7">(G109*E109)*H109</f>
        <v>4042.5000000000005</v>
      </c>
      <c r="J109" s="251">
        <v>0</v>
      </c>
      <c r="K109" s="255">
        <f t="shared" ref="K109:K131" si="8">(G109*E109)*J109</f>
        <v>0</v>
      </c>
      <c r="L109" s="251" t="s">
        <v>53</v>
      </c>
      <c r="M109" s="251" t="s">
        <v>54</v>
      </c>
      <c r="N109" s="49" t="s">
        <v>196</v>
      </c>
    </row>
    <row r="110" spans="1:14" ht="55" x14ac:dyDescent="0.7">
      <c r="A110" s="251" t="s">
        <v>79</v>
      </c>
      <c r="B110" s="251" t="s">
        <v>97</v>
      </c>
      <c r="C110" s="251" t="s">
        <v>15</v>
      </c>
      <c r="D110" s="251">
        <v>13</v>
      </c>
      <c r="E110" s="251">
        <v>16.5</v>
      </c>
      <c r="F110" s="251">
        <v>12982.8</v>
      </c>
      <c r="G110" s="251">
        <v>875</v>
      </c>
      <c r="H110" s="251">
        <v>0.28000000000000003</v>
      </c>
      <c r="I110" s="255">
        <f t="shared" si="7"/>
        <v>4042.5000000000005</v>
      </c>
      <c r="J110" s="251">
        <v>0</v>
      </c>
      <c r="K110" s="255">
        <f t="shared" si="8"/>
        <v>0</v>
      </c>
      <c r="L110" s="251" t="s">
        <v>53</v>
      </c>
      <c r="M110" s="251" t="s">
        <v>57</v>
      </c>
      <c r="N110" s="49">
        <f>I109+I110+I113+I114+I118+I121+I123+I126+I130</f>
        <v>21707.000000000004</v>
      </c>
    </row>
    <row r="111" spans="1:14" ht="55" x14ac:dyDescent="0.7">
      <c r="A111" s="251" t="s">
        <v>50</v>
      </c>
      <c r="B111" s="251" t="s">
        <v>97</v>
      </c>
      <c r="C111" s="251" t="s">
        <v>52</v>
      </c>
      <c r="D111" s="251">
        <v>66</v>
      </c>
      <c r="E111" s="251">
        <v>71.5</v>
      </c>
      <c r="F111" s="251">
        <v>35262.9</v>
      </c>
      <c r="G111" s="251">
        <v>61</v>
      </c>
      <c r="H111" s="251">
        <v>1.5</v>
      </c>
      <c r="I111" s="255">
        <f t="shared" si="7"/>
        <v>6542.25</v>
      </c>
      <c r="J111" s="251">
        <v>0</v>
      </c>
      <c r="K111" s="255">
        <f t="shared" si="8"/>
        <v>0</v>
      </c>
      <c r="L111" s="251" t="s">
        <v>53</v>
      </c>
      <c r="M111" s="251" t="s">
        <v>54</v>
      </c>
      <c r="N111" s="49" t="s">
        <v>194</v>
      </c>
    </row>
    <row r="112" spans="1:14" ht="82.5" x14ac:dyDescent="0.7">
      <c r="A112" s="251" t="s">
        <v>89</v>
      </c>
      <c r="B112" s="251" t="s">
        <v>62</v>
      </c>
      <c r="C112" s="251" t="s">
        <v>20</v>
      </c>
      <c r="D112" s="251">
        <v>80</v>
      </c>
      <c r="E112" s="251">
        <v>16.399999999999999</v>
      </c>
      <c r="F112" s="251">
        <v>11803.5</v>
      </c>
      <c r="G112" s="251">
        <v>470</v>
      </c>
      <c r="H112" s="251">
        <v>0.2</v>
      </c>
      <c r="I112" s="255">
        <f t="shared" si="7"/>
        <v>1541.6</v>
      </c>
      <c r="J112" s="251">
        <v>1.6</v>
      </c>
      <c r="K112" s="255">
        <f t="shared" si="8"/>
        <v>12332.8</v>
      </c>
      <c r="L112" s="251" t="s">
        <v>53</v>
      </c>
      <c r="M112" s="251" t="s">
        <v>57</v>
      </c>
      <c r="N112" s="49">
        <f>I111+I124+I128+I131</f>
        <v>13770.75</v>
      </c>
    </row>
    <row r="113" spans="1:15" ht="82.5" x14ac:dyDescent="0.7">
      <c r="A113" s="251" t="s">
        <v>79</v>
      </c>
      <c r="B113" s="251" t="s">
        <v>62</v>
      </c>
      <c r="C113" s="251" t="s">
        <v>15</v>
      </c>
      <c r="D113" s="251">
        <v>15</v>
      </c>
      <c r="E113" s="251">
        <v>3</v>
      </c>
      <c r="F113" s="251">
        <v>2582.4</v>
      </c>
      <c r="G113" s="251">
        <v>875</v>
      </c>
      <c r="H113" s="251">
        <v>0.28000000000000003</v>
      </c>
      <c r="I113" s="255">
        <f t="shared" si="7"/>
        <v>735.00000000000011</v>
      </c>
      <c r="J113" s="251">
        <v>0</v>
      </c>
      <c r="K113" s="255">
        <f t="shared" si="8"/>
        <v>0</v>
      </c>
      <c r="L113" s="251" t="s">
        <v>53</v>
      </c>
      <c r="M113" s="251" t="s">
        <v>54</v>
      </c>
      <c r="N113" s="49" t="s">
        <v>188</v>
      </c>
    </row>
    <row r="114" spans="1:15" ht="82.5" x14ac:dyDescent="0.7">
      <c r="A114" s="251" t="s">
        <v>79</v>
      </c>
      <c r="B114" s="251" t="s">
        <v>62</v>
      </c>
      <c r="C114" s="251" t="s">
        <v>15</v>
      </c>
      <c r="D114" s="251">
        <v>15</v>
      </c>
      <c r="E114" s="251">
        <v>6</v>
      </c>
      <c r="F114" s="251">
        <v>5815.3</v>
      </c>
      <c r="G114" s="251">
        <v>875</v>
      </c>
      <c r="H114" s="251">
        <v>0.28000000000000003</v>
      </c>
      <c r="I114" s="255">
        <f t="shared" si="7"/>
        <v>1470.0000000000002</v>
      </c>
      <c r="J114" s="251">
        <v>0</v>
      </c>
      <c r="K114" s="255">
        <f t="shared" si="8"/>
        <v>0</v>
      </c>
      <c r="L114" s="251" t="s">
        <v>53</v>
      </c>
      <c r="M114" s="251" t="s">
        <v>57</v>
      </c>
      <c r="N114" s="49">
        <f>I112+I117+I120+I125+I129</f>
        <v>19241.800000000003</v>
      </c>
      <c r="O114" s="49">
        <f>K112+K117+K120+K125+K129</f>
        <v>153934.40000000002</v>
      </c>
    </row>
    <row r="115" spans="1:15" ht="27.5" x14ac:dyDescent="0.7">
      <c r="A115" s="251"/>
      <c r="B115" s="251"/>
      <c r="C115" s="251"/>
      <c r="D115" s="251"/>
      <c r="E115" s="251"/>
      <c r="F115" s="251"/>
      <c r="G115" s="251"/>
      <c r="H115" s="251"/>
      <c r="I115" s="255"/>
      <c r="J115" s="251"/>
      <c r="K115" s="255"/>
      <c r="L115" s="251"/>
      <c r="M115" s="251"/>
      <c r="N115" s="49" t="s">
        <v>233</v>
      </c>
    </row>
    <row r="116" spans="1:15" ht="82.5" x14ac:dyDescent="0.7">
      <c r="A116" s="251" t="s">
        <v>50</v>
      </c>
      <c r="B116" s="251" t="s">
        <v>62</v>
      </c>
      <c r="C116" s="251" t="s">
        <v>52</v>
      </c>
      <c r="D116" s="251">
        <v>98</v>
      </c>
      <c r="E116" s="251">
        <v>21.6</v>
      </c>
      <c r="F116" s="251">
        <v>10568.4</v>
      </c>
      <c r="G116" s="251">
        <v>61</v>
      </c>
      <c r="H116" s="251">
        <v>1.5</v>
      </c>
      <c r="I116" s="255">
        <f t="shared" si="7"/>
        <v>1976.4</v>
      </c>
      <c r="J116" s="251">
        <v>0</v>
      </c>
      <c r="K116" s="255">
        <f t="shared" si="8"/>
        <v>0</v>
      </c>
      <c r="L116" s="251" t="s">
        <v>53</v>
      </c>
      <c r="M116" s="251" t="s">
        <v>57</v>
      </c>
      <c r="N116" s="49">
        <f>0</f>
        <v>0</v>
      </c>
    </row>
    <row r="117" spans="1:15" ht="55" x14ac:dyDescent="0.7">
      <c r="A117" s="251" t="s">
        <v>89</v>
      </c>
      <c r="B117" s="251" t="s">
        <v>80</v>
      </c>
      <c r="C117" s="251" t="s">
        <v>20</v>
      </c>
      <c r="D117" s="251">
        <v>80</v>
      </c>
      <c r="E117" s="251">
        <v>8.6</v>
      </c>
      <c r="F117" s="251">
        <v>6086.4</v>
      </c>
      <c r="G117" s="251">
        <v>470</v>
      </c>
      <c r="H117" s="251">
        <v>0.2</v>
      </c>
      <c r="I117" s="255">
        <f t="shared" si="7"/>
        <v>808.40000000000009</v>
      </c>
      <c r="J117" s="251">
        <v>1.6</v>
      </c>
      <c r="K117" s="255">
        <f t="shared" si="8"/>
        <v>6467.2000000000007</v>
      </c>
      <c r="L117" s="251" t="s">
        <v>53</v>
      </c>
      <c r="M117" s="251" t="s">
        <v>54</v>
      </c>
    </row>
    <row r="118" spans="1:15" ht="55" x14ac:dyDescent="0.7">
      <c r="A118" s="251" t="s">
        <v>79</v>
      </c>
      <c r="B118" s="251" t="s">
        <v>80</v>
      </c>
      <c r="C118" s="251" t="s">
        <v>15</v>
      </c>
      <c r="D118" s="251">
        <v>15</v>
      </c>
      <c r="E118" s="251">
        <v>1.8</v>
      </c>
      <c r="F118" s="251">
        <v>1513.7</v>
      </c>
      <c r="G118" s="251">
        <v>875</v>
      </c>
      <c r="H118" s="251">
        <v>0.28000000000000003</v>
      </c>
      <c r="I118" s="255">
        <f t="shared" si="7"/>
        <v>441.00000000000006</v>
      </c>
      <c r="J118" s="251">
        <v>0</v>
      </c>
      <c r="K118" s="255">
        <f t="shared" si="8"/>
        <v>0</v>
      </c>
      <c r="L118" s="251" t="s">
        <v>53</v>
      </c>
      <c r="M118" s="251" t="s">
        <v>57</v>
      </c>
    </row>
    <row r="119" spans="1:15" ht="55" x14ac:dyDescent="0.7">
      <c r="A119" s="251" t="s">
        <v>79</v>
      </c>
      <c r="B119" s="251" t="s">
        <v>80</v>
      </c>
      <c r="C119" s="251" t="s">
        <v>15</v>
      </c>
      <c r="D119" s="251">
        <v>15</v>
      </c>
      <c r="E119" s="251">
        <v>1.8</v>
      </c>
      <c r="F119" s="251">
        <v>1403.6</v>
      </c>
      <c r="G119" s="251">
        <v>875</v>
      </c>
      <c r="H119" s="251">
        <v>0.28000000000000003</v>
      </c>
      <c r="I119" s="255">
        <f t="shared" si="7"/>
        <v>441.00000000000006</v>
      </c>
      <c r="J119" s="251">
        <v>0</v>
      </c>
      <c r="K119" s="255">
        <f t="shared" si="8"/>
        <v>0</v>
      </c>
      <c r="L119" s="251" t="s">
        <v>53</v>
      </c>
      <c r="M119" s="251" t="s">
        <v>54</v>
      </c>
    </row>
    <row r="120" spans="1:15" ht="110" x14ac:dyDescent="0.7">
      <c r="A120" s="251" t="s">
        <v>89</v>
      </c>
      <c r="B120" s="251" t="s">
        <v>85</v>
      </c>
      <c r="C120" s="251" t="s">
        <v>20</v>
      </c>
      <c r="D120" s="251">
        <v>80</v>
      </c>
      <c r="E120" s="251">
        <v>23.1</v>
      </c>
      <c r="F120" s="251">
        <v>15650.7</v>
      </c>
      <c r="G120" s="251">
        <v>470</v>
      </c>
      <c r="H120" s="251">
        <v>0.2</v>
      </c>
      <c r="I120" s="255">
        <f t="shared" si="7"/>
        <v>2171.4</v>
      </c>
      <c r="J120" s="251">
        <v>1.6</v>
      </c>
      <c r="K120" s="255">
        <f t="shared" si="8"/>
        <v>17371.2</v>
      </c>
      <c r="L120" s="251" t="s">
        <v>53</v>
      </c>
      <c r="M120" s="251" t="s">
        <v>57</v>
      </c>
    </row>
    <row r="121" spans="1:15" ht="110" x14ac:dyDescent="0.7">
      <c r="A121" s="251" t="s">
        <v>79</v>
      </c>
      <c r="B121" s="251" t="s">
        <v>85</v>
      </c>
      <c r="C121" s="251" t="s">
        <v>15</v>
      </c>
      <c r="D121" s="251">
        <v>15</v>
      </c>
      <c r="E121" s="251">
        <v>3.5</v>
      </c>
      <c r="F121" s="251">
        <v>3583.7</v>
      </c>
      <c r="G121" s="251">
        <v>875</v>
      </c>
      <c r="H121" s="251">
        <v>0.28000000000000003</v>
      </c>
      <c r="I121" s="255">
        <f t="shared" si="7"/>
        <v>857.50000000000011</v>
      </c>
      <c r="J121" s="251">
        <v>0</v>
      </c>
      <c r="K121" s="255">
        <f t="shared" si="8"/>
        <v>0</v>
      </c>
      <c r="L121" s="251" t="s">
        <v>53</v>
      </c>
      <c r="M121" s="251" t="s">
        <v>57</v>
      </c>
    </row>
    <row r="122" spans="1:15" ht="110" x14ac:dyDescent="0.7">
      <c r="A122" s="251" t="s">
        <v>79</v>
      </c>
      <c r="B122" s="251" t="s">
        <v>85</v>
      </c>
      <c r="C122" s="251" t="s">
        <v>15</v>
      </c>
      <c r="D122" s="251">
        <v>15</v>
      </c>
      <c r="E122" s="251">
        <v>3.5</v>
      </c>
      <c r="F122" s="251">
        <v>3191.2</v>
      </c>
      <c r="G122" s="251">
        <v>875</v>
      </c>
      <c r="H122" s="251">
        <v>0.28000000000000003</v>
      </c>
      <c r="I122" s="255">
        <f t="shared" si="7"/>
        <v>857.50000000000011</v>
      </c>
      <c r="J122" s="251">
        <v>0</v>
      </c>
      <c r="K122" s="255">
        <f t="shared" si="8"/>
        <v>0</v>
      </c>
      <c r="L122" s="251" t="s">
        <v>53</v>
      </c>
      <c r="M122" s="251" t="s">
        <v>54</v>
      </c>
    </row>
    <row r="123" spans="1:15" ht="82.5" x14ac:dyDescent="0.7">
      <c r="A123" s="251" t="s">
        <v>79</v>
      </c>
      <c r="B123" s="251" t="s">
        <v>93</v>
      </c>
      <c r="C123" s="251" t="s">
        <v>15</v>
      </c>
      <c r="D123" s="251">
        <v>15</v>
      </c>
      <c r="E123" s="251">
        <v>7</v>
      </c>
      <c r="F123" s="251">
        <v>8146.8</v>
      </c>
      <c r="G123" s="251">
        <v>875</v>
      </c>
      <c r="H123" s="251">
        <v>0.28000000000000003</v>
      </c>
      <c r="I123" s="255">
        <f t="shared" si="7"/>
        <v>1715.0000000000002</v>
      </c>
      <c r="J123" s="251">
        <v>0</v>
      </c>
      <c r="K123" s="255">
        <f t="shared" si="8"/>
        <v>0</v>
      </c>
      <c r="L123" s="251" t="s">
        <v>53</v>
      </c>
      <c r="M123" s="251" t="s">
        <v>57</v>
      </c>
    </row>
    <row r="124" spans="1:15" ht="82.5" x14ac:dyDescent="0.7">
      <c r="A124" s="251" t="s">
        <v>50</v>
      </c>
      <c r="B124" s="251" t="s">
        <v>93</v>
      </c>
      <c r="C124" s="251" t="s">
        <v>52</v>
      </c>
      <c r="D124" s="251">
        <v>66</v>
      </c>
      <c r="E124" s="251">
        <v>19.399999999999999</v>
      </c>
      <c r="F124" s="251">
        <v>10417.200000000001</v>
      </c>
      <c r="G124" s="251">
        <v>61</v>
      </c>
      <c r="H124" s="251">
        <v>1.5</v>
      </c>
      <c r="I124" s="255">
        <f t="shared" si="7"/>
        <v>1775.1</v>
      </c>
      <c r="J124" s="251">
        <v>0</v>
      </c>
      <c r="K124" s="255">
        <f t="shared" si="8"/>
        <v>0</v>
      </c>
      <c r="L124" s="251" t="s">
        <v>53</v>
      </c>
      <c r="M124" s="251" t="s">
        <v>54</v>
      </c>
    </row>
    <row r="125" spans="1:15" ht="82.5" x14ac:dyDescent="0.7">
      <c r="A125" s="251" t="s">
        <v>89</v>
      </c>
      <c r="B125" s="251" t="s">
        <v>63</v>
      </c>
      <c r="C125" s="251" t="s">
        <v>20</v>
      </c>
      <c r="D125" s="251">
        <v>80</v>
      </c>
      <c r="E125" s="251">
        <v>19</v>
      </c>
      <c r="F125" s="251">
        <v>13420.7</v>
      </c>
      <c r="G125" s="251">
        <v>470</v>
      </c>
      <c r="H125" s="251">
        <v>0.2</v>
      </c>
      <c r="I125" s="255">
        <f t="shared" si="7"/>
        <v>1786</v>
      </c>
      <c r="J125" s="251">
        <v>1.6</v>
      </c>
      <c r="K125" s="255">
        <f t="shared" si="8"/>
        <v>14288</v>
      </c>
      <c r="L125" s="251" t="s">
        <v>53</v>
      </c>
      <c r="M125" s="251" t="s">
        <v>54</v>
      </c>
    </row>
    <row r="126" spans="1:15" ht="82.5" x14ac:dyDescent="0.7">
      <c r="A126" s="251" t="s">
        <v>79</v>
      </c>
      <c r="B126" s="251" t="s">
        <v>63</v>
      </c>
      <c r="C126" s="251" t="s">
        <v>15</v>
      </c>
      <c r="D126" s="251">
        <v>15</v>
      </c>
      <c r="E126" s="251">
        <v>8.3000000000000007</v>
      </c>
      <c r="F126" s="251">
        <v>8365.4</v>
      </c>
      <c r="G126" s="251">
        <v>875</v>
      </c>
      <c r="H126" s="251">
        <v>0.28000000000000003</v>
      </c>
      <c r="I126" s="255">
        <f t="shared" si="7"/>
        <v>2033.5000000000005</v>
      </c>
      <c r="J126" s="251">
        <v>0</v>
      </c>
      <c r="K126" s="255">
        <f t="shared" si="8"/>
        <v>0</v>
      </c>
      <c r="L126" s="251" t="s">
        <v>53</v>
      </c>
      <c r="M126" s="251" t="s">
        <v>57</v>
      </c>
    </row>
    <row r="127" spans="1:15" ht="82.5" x14ac:dyDescent="0.7">
      <c r="A127" s="251" t="s">
        <v>59</v>
      </c>
      <c r="B127" s="251" t="s">
        <v>63</v>
      </c>
      <c r="C127" s="251" t="s">
        <v>61</v>
      </c>
      <c r="D127" s="251">
        <v>20</v>
      </c>
      <c r="E127" s="251">
        <v>5.0999999999999996</v>
      </c>
      <c r="F127" s="251">
        <v>5.4</v>
      </c>
      <c r="G127" s="251">
        <v>0</v>
      </c>
      <c r="H127" s="251">
        <v>0</v>
      </c>
      <c r="I127" s="255">
        <f t="shared" si="7"/>
        <v>0</v>
      </c>
      <c r="J127" s="251">
        <v>0</v>
      </c>
      <c r="K127" s="255">
        <f t="shared" si="8"/>
        <v>0</v>
      </c>
      <c r="L127" s="251" t="s">
        <v>53</v>
      </c>
      <c r="M127" s="251" t="s">
        <v>54</v>
      </c>
    </row>
    <row r="128" spans="1:15" ht="82.5" x14ac:dyDescent="0.7">
      <c r="A128" s="251" t="s">
        <v>50</v>
      </c>
      <c r="B128" s="251" t="s">
        <v>63</v>
      </c>
      <c r="C128" s="251" t="s">
        <v>52</v>
      </c>
      <c r="D128" s="251">
        <v>68</v>
      </c>
      <c r="E128" s="251">
        <v>16.600000000000001</v>
      </c>
      <c r="F128" s="251">
        <v>8027.3</v>
      </c>
      <c r="G128" s="251">
        <v>61</v>
      </c>
      <c r="H128" s="251">
        <v>1.5</v>
      </c>
      <c r="I128" s="255">
        <f t="shared" si="7"/>
        <v>1518.9</v>
      </c>
      <c r="J128" s="251">
        <v>0</v>
      </c>
      <c r="K128" s="255">
        <f t="shared" si="8"/>
        <v>0</v>
      </c>
      <c r="L128" s="251" t="s">
        <v>53</v>
      </c>
      <c r="M128" s="251" t="s">
        <v>54</v>
      </c>
    </row>
    <row r="129" spans="1:14" ht="55" x14ac:dyDescent="0.7">
      <c r="A129" s="251" t="s">
        <v>89</v>
      </c>
      <c r="B129" s="251" t="s">
        <v>102</v>
      </c>
      <c r="C129" s="251" t="s">
        <v>20</v>
      </c>
      <c r="D129" s="251">
        <v>80</v>
      </c>
      <c r="E129" s="251">
        <v>137.6</v>
      </c>
      <c r="F129" s="251">
        <v>97436.3</v>
      </c>
      <c r="G129" s="251">
        <v>470</v>
      </c>
      <c r="H129" s="251">
        <v>0.2</v>
      </c>
      <c r="I129" s="255">
        <f t="shared" si="7"/>
        <v>12934.400000000001</v>
      </c>
      <c r="J129" s="251">
        <v>1.6</v>
      </c>
      <c r="K129" s="255">
        <f t="shared" si="8"/>
        <v>103475.20000000001</v>
      </c>
      <c r="L129" s="251" t="s">
        <v>53</v>
      </c>
      <c r="M129" s="251" t="s">
        <v>54</v>
      </c>
    </row>
    <row r="130" spans="1:14" ht="55" x14ac:dyDescent="0.7">
      <c r="A130" s="251" t="s">
        <v>79</v>
      </c>
      <c r="B130" s="251" t="s">
        <v>102</v>
      </c>
      <c r="C130" s="251" t="s">
        <v>15</v>
      </c>
      <c r="D130" s="251">
        <v>15</v>
      </c>
      <c r="E130" s="251">
        <v>26</v>
      </c>
      <c r="F130" s="251">
        <v>20574.599999999999</v>
      </c>
      <c r="G130" s="251">
        <v>875</v>
      </c>
      <c r="H130" s="251">
        <v>0.28000000000000003</v>
      </c>
      <c r="I130" s="255">
        <f t="shared" si="7"/>
        <v>6370.0000000000009</v>
      </c>
      <c r="J130" s="251">
        <v>0</v>
      </c>
      <c r="K130" s="255">
        <f t="shared" si="8"/>
        <v>0</v>
      </c>
      <c r="L130" s="251" t="s">
        <v>53</v>
      </c>
      <c r="M130" s="251" t="s">
        <v>57</v>
      </c>
    </row>
    <row r="131" spans="1:14" ht="55" x14ac:dyDescent="0.7">
      <c r="A131" s="251" t="s">
        <v>50</v>
      </c>
      <c r="B131" s="251" t="s">
        <v>102</v>
      </c>
      <c r="C131" s="251" t="s">
        <v>52</v>
      </c>
      <c r="D131" s="251">
        <v>50</v>
      </c>
      <c r="E131" s="251">
        <v>43</v>
      </c>
      <c r="F131" s="251">
        <v>21801.3</v>
      </c>
      <c r="G131" s="251">
        <v>61</v>
      </c>
      <c r="H131" s="251">
        <v>1.5</v>
      </c>
      <c r="I131" s="255">
        <f t="shared" si="7"/>
        <v>3934.5</v>
      </c>
      <c r="J131" s="251">
        <v>0</v>
      </c>
      <c r="K131" s="255">
        <f t="shared" si="8"/>
        <v>0</v>
      </c>
      <c r="L131" s="251" t="s">
        <v>53</v>
      </c>
      <c r="M131" s="251" t="s">
        <v>54</v>
      </c>
    </row>
    <row r="132" spans="1:14" ht="27.5" x14ac:dyDescent="0.7">
      <c r="A132" s="251"/>
      <c r="B132" s="251"/>
      <c r="C132" s="251"/>
      <c r="D132" s="251"/>
      <c r="E132" s="251"/>
      <c r="F132" s="251"/>
      <c r="G132" s="251"/>
      <c r="H132" s="251"/>
      <c r="I132" s="255"/>
      <c r="J132" s="251"/>
      <c r="K132" s="255"/>
      <c r="L132" s="251"/>
      <c r="M132" s="251"/>
    </row>
    <row r="133" spans="1:14" ht="55" x14ac:dyDescent="0.7">
      <c r="A133" s="251" t="s">
        <v>98</v>
      </c>
      <c r="B133" s="251" t="s">
        <v>99</v>
      </c>
      <c r="C133" s="251" t="s">
        <v>100</v>
      </c>
      <c r="D133" s="251">
        <v>125</v>
      </c>
      <c r="E133" s="251">
        <v>11.4</v>
      </c>
      <c r="F133" s="251">
        <v>16007.9</v>
      </c>
      <c r="G133" s="251">
        <v>644</v>
      </c>
      <c r="H133" s="251">
        <v>0.26</v>
      </c>
      <c r="I133" s="255">
        <f t="shared" ref="I133:I141" si="9">(G133*E133)*H133</f>
        <v>1908.8160000000003</v>
      </c>
      <c r="J133" s="251">
        <v>0</v>
      </c>
      <c r="K133" s="255">
        <f t="shared" ref="K133:K141" si="10">(G133*E133)*J133</f>
        <v>0</v>
      </c>
      <c r="L133" s="251" t="s">
        <v>53</v>
      </c>
      <c r="M133" s="251" t="s">
        <v>57</v>
      </c>
      <c r="N133" s="49" t="s">
        <v>233</v>
      </c>
    </row>
    <row r="134" spans="1:14" ht="55" x14ac:dyDescent="0.7">
      <c r="A134" s="251" t="s">
        <v>95</v>
      </c>
      <c r="B134" s="251" t="s">
        <v>77</v>
      </c>
      <c r="C134" s="251" t="s">
        <v>30</v>
      </c>
      <c r="D134" s="251">
        <v>100</v>
      </c>
      <c r="E134" s="251">
        <v>27.1</v>
      </c>
      <c r="F134" s="251">
        <v>65022.3</v>
      </c>
      <c r="G134" s="251">
        <v>2375</v>
      </c>
      <c r="H134" s="251">
        <v>0.15</v>
      </c>
      <c r="I134" s="255">
        <f>(G134*E134)*H134</f>
        <v>9654.375</v>
      </c>
      <c r="J134" s="251">
        <v>0</v>
      </c>
      <c r="K134" s="255">
        <f>(G134*E134)*J134</f>
        <v>0</v>
      </c>
      <c r="L134" s="251" t="s">
        <v>53</v>
      </c>
      <c r="M134" s="251" t="s">
        <v>54</v>
      </c>
      <c r="N134" s="49">
        <f>I133+I139+I141</f>
        <v>1908.8160000000003</v>
      </c>
    </row>
    <row r="135" spans="1:14" ht="55" x14ac:dyDescent="0.7">
      <c r="A135" s="251" t="s">
        <v>95</v>
      </c>
      <c r="B135" s="251" t="s">
        <v>77</v>
      </c>
      <c r="C135" s="251" t="s">
        <v>30</v>
      </c>
      <c r="D135" s="251">
        <v>200</v>
      </c>
      <c r="E135" s="251">
        <v>52.9</v>
      </c>
      <c r="F135" s="251">
        <v>126894.5</v>
      </c>
      <c r="G135" s="251">
        <v>2375</v>
      </c>
      <c r="H135" s="251">
        <v>0.15</v>
      </c>
      <c r="I135" s="255">
        <f>(G135*E135)*H135</f>
        <v>18845.625</v>
      </c>
      <c r="J135" s="251">
        <v>0</v>
      </c>
      <c r="K135" s="255">
        <f>(G135*E135)*J135</f>
        <v>0</v>
      </c>
      <c r="L135" s="251" t="s">
        <v>53</v>
      </c>
      <c r="M135" s="251" t="s">
        <v>54</v>
      </c>
      <c r="N135" s="49" t="s">
        <v>194</v>
      </c>
    </row>
    <row r="136" spans="1:14" ht="55" x14ac:dyDescent="0.7">
      <c r="A136" s="251" t="s">
        <v>72</v>
      </c>
      <c r="B136" s="251" t="s">
        <v>77</v>
      </c>
      <c r="C136" s="251" t="s">
        <v>74</v>
      </c>
      <c r="D136" s="251">
        <v>140</v>
      </c>
      <c r="E136" s="251">
        <v>37.6</v>
      </c>
      <c r="F136" s="251">
        <v>1051.9000000000001</v>
      </c>
      <c r="G136" s="251">
        <v>16</v>
      </c>
      <c r="H136" s="251">
        <v>3.5</v>
      </c>
      <c r="I136" s="255">
        <f>(G136*E136)*H136</f>
        <v>2105.6</v>
      </c>
      <c r="J136" s="251">
        <v>0</v>
      </c>
      <c r="K136" s="255">
        <f>(G136*E136)*J136</f>
        <v>0</v>
      </c>
      <c r="L136" s="251" t="s">
        <v>53</v>
      </c>
      <c r="M136" s="251" t="s">
        <v>54</v>
      </c>
    </row>
    <row r="137" spans="1:14" ht="55" x14ac:dyDescent="0.7">
      <c r="A137" s="251" t="s">
        <v>98</v>
      </c>
      <c r="B137" s="251" t="s">
        <v>99</v>
      </c>
      <c r="C137" s="251" t="s">
        <v>100</v>
      </c>
      <c r="D137" s="251">
        <v>125</v>
      </c>
      <c r="E137" s="251">
        <v>11.4</v>
      </c>
      <c r="F137" s="251">
        <v>16007.9</v>
      </c>
      <c r="G137" s="251">
        <v>644</v>
      </c>
      <c r="H137" s="251">
        <v>0.26</v>
      </c>
      <c r="I137" s="255">
        <f>(G137*E137)*H137</f>
        <v>1908.8160000000003</v>
      </c>
      <c r="J137" s="251">
        <v>0</v>
      </c>
      <c r="K137" s="255">
        <f>(G137*E137)*J137</f>
        <v>0</v>
      </c>
      <c r="L137" s="251" t="s">
        <v>53</v>
      </c>
      <c r="M137" s="251" t="s">
        <v>57</v>
      </c>
    </row>
    <row r="139" spans="1:14" ht="55" x14ac:dyDescent="0.7">
      <c r="A139" s="251" t="s">
        <v>58</v>
      </c>
      <c r="B139" s="251" t="s">
        <v>51</v>
      </c>
      <c r="C139" s="251" t="s">
        <v>32</v>
      </c>
      <c r="D139" s="251">
        <v>150</v>
      </c>
      <c r="E139" s="251">
        <v>0</v>
      </c>
      <c r="F139" s="251">
        <v>0</v>
      </c>
      <c r="G139" s="251">
        <v>2400</v>
      </c>
      <c r="H139" s="251">
        <v>0.19</v>
      </c>
      <c r="I139" s="255">
        <f t="shared" si="9"/>
        <v>0</v>
      </c>
      <c r="J139" s="251">
        <v>0</v>
      </c>
      <c r="K139" s="255">
        <f t="shared" si="10"/>
        <v>0</v>
      </c>
      <c r="L139" s="251" t="s">
        <v>53</v>
      </c>
      <c r="M139" s="251" t="s">
        <v>54</v>
      </c>
    </row>
    <row r="140" spans="1:14" ht="55" x14ac:dyDescent="0.7">
      <c r="A140" s="251" t="s">
        <v>50</v>
      </c>
      <c r="B140" s="251" t="s">
        <v>51</v>
      </c>
      <c r="C140" s="251" t="s">
        <v>52</v>
      </c>
      <c r="D140" s="251">
        <v>250</v>
      </c>
      <c r="E140" s="251">
        <v>0</v>
      </c>
      <c r="F140" s="251">
        <v>0</v>
      </c>
      <c r="G140" s="251">
        <v>61</v>
      </c>
      <c r="H140" s="251">
        <v>1.5</v>
      </c>
      <c r="I140" s="255">
        <f t="shared" si="9"/>
        <v>0</v>
      </c>
      <c r="J140" s="251">
        <v>0</v>
      </c>
      <c r="K140" s="255">
        <f t="shared" si="10"/>
        <v>0</v>
      </c>
      <c r="L140" s="251" t="s">
        <v>53</v>
      </c>
      <c r="M140" s="251" t="s">
        <v>54</v>
      </c>
    </row>
    <row r="141" spans="1:14" ht="55" x14ac:dyDescent="0.7">
      <c r="A141" s="251" t="s">
        <v>55</v>
      </c>
      <c r="B141" s="251" t="s">
        <v>51</v>
      </c>
      <c r="C141" s="251" t="s">
        <v>56</v>
      </c>
      <c r="D141" s="251">
        <v>70</v>
      </c>
      <c r="E141" s="251">
        <v>0</v>
      </c>
      <c r="F141" s="251">
        <v>0</v>
      </c>
      <c r="G141" s="251">
        <v>2363</v>
      </c>
      <c r="H141" s="251">
        <v>0.14000000000000001</v>
      </c>
      <c r="I141" s="255">
        <f t="shared" si="9"/>
        <v>0</v>
      </c>
      <c r="J141" s="251">
        <v>0</v>
      </c>
      <c r="K141" s="255">
        <f t="shared" si="10"/>
        <v>0</v>
      </c>
      <c r="L141" s="251" t="s">
        <v>53</v>
      </c>
      <c r="M141" s="251" t="s">
        <v>57</v>
      </c>
    </row>
    <row r="142" spans="1:14" ht="137.5" x14ac:dyDescent="0.35">
      <c r="A142" s="203" t="s">
        <v>36</v>
      </c>
      <c r="B142" s="203" t="s">
        <v>37</v>
      </c>
      <c r="C142" s="203" t="s">
        <v>38</v>
      </c>
      <c r="D142" s="203" t="s">
        <v>39</v>
      </c>
      <c r="E142" s="203" t="s">
        <v>40</v>
      </c>
      <c r="F142" s="203" t="s">
        <v>41</v>
      </c>
      <c r="G142" s="203" t="s">
        <v>42</v>
      </c>
      <c r="H142" s="203" t="s">
        <v>43</v>
      </c>
      <c r="J142" s="203" t="s">
        <v>45</v>
      </c>
      <c r="L142" s="203" t="s">
        <v>46</v>
      </c>
      <c r="M142" s="203" t="s">
        <v>47</v>
      </c>
    </row>
    <row r="145" spans="1:13" ht="55" x14ac:dyDescent="0.7">
      <c r="A145" s="251" t="s">
        <v>58</v>
      </c>
      <c r="B145" s="251" t="s">
        <v>103</v>
      </c>
      <c r="C145" s="251" t="s">
        <v>32</v>
      </c>
      <c r="D145" s="251">
        <v>300</v>
      </c>
      <c r="E145" s="251">
        <v>15</v>
      </c>
      <c r="F145" s="251">
        <v>36148.300000000003</v>
      </c>
      <c r="G145" s="251">
        <v>2400</v>
      </c>
      <c r="H145" s="251">
        <v>0.19</v>
      </c>
      <c r="I145" s="255">
        <f t="shared" ref="I145:I151" si="11">(G145*E145)*H145</f>
        <v>6840</v>
      </c>
      <c r="J145" s="251">
        <v>0</v>
      </c>
      <c r="K145" s="255">
        <f t="shared" ref="K145:K151" si="12">(G145*E145)*J145</f>
        <v>0</v>
      </c>
      <c r="L145" s="251" t="s">
        <v>53</v>
      </c>
      <c r="M145" s="251" t="s">
        <v>54</v>
      </c>
    </row>
    <row r="146" spans="1:13" ht="55" x14ac:dyDescent="0.7">
      <c r="A146" s="251" t="s">
        <v>58</v>
      </c>
      <c r="B146" s="251" t="s">
        <v>105</v>
      </c>
      <c r="C146" s="251" t="s">
        <v>32</v>
      </c>
      <c r="D146" s="251">
        <v>300</v>
      </c>
      <c r="E146" s="251">
        <v>24</v>
      </c>
      <c r="F146" s="251">
        <v>57635.5</v>
      </c>
      <c r="G146" s="251">
        <v>2400</v>
      </c>
      <c r="H146" s="251">
        <v>0.19</v>
      </c>
      <c r="I146" s="255">
        <f t="shared" si="11"/>
        <v>10944</v>
      </c>
      <c r="J146" s="251">
        <v>0</v>
      </c>
      <c r="K146" s="255">
        <f t="shared" si="12"/>
        <v>0</v>
      </c>
      <c r="L146" s="251" t="s">
        <v>53</v>
      </c>
      <c r="M146" s="251" t="s">
        <v>57</v>
      </c>
    </row>
    <row r="147" spans="1:13" ht="55" x14ac:dyDescent="0.7">
      <c r="A147" s="251" t="s">
        <v>58</v>
      </c>
      <c r="B147" s="251" t="s">
        <v>88</v>
      </c>
      <c r="C147" s="251" t="s">
        <v>32</v>
      </c>
      <c r="D147" s="251">
        <v>300</v>
      </c>
      <c r="E147" s="251">
        <v>16.100000000000001</v>
      </c>
      <c r="F147" s="251">
        <v>38836.300000000003</v>
      </c>
      <c r="G147" s="251">
        <v>2400</v>
      </c>
      <c r="H147" s="251">
        <v>0.19</v>
      </c>
      <c r="I147" s="255">
        <f t="shared" si="11"/>
        <v>7341.6</v>
      </c>
      <c r="J147" s="251">
        <v>0</v>
      </c>
      <c r="K147" s="255">
        <f t="shared" si="12"/>
        <v>0</v>
      </c>
      <c r="L147" s="251" t="s">
        <v>53</v>
      </c>
      <c r="M147" s="251" t="s">
        <v>54</v>
      </c>
    </row>
    <row r="148" spans="1:13" ht="55" x14ac:dyDescent="0.7">
      <c r="A148" s="251" t="s">
        <v>50</v>
      </c>
      <c r="B148" s="251" t="s">
        <v>88</v>
      </c>
      <c r="C148" s="251" t="s">
        <v>52</v>
      </c>
      <c r="D148" s="251">
        <v>140</v>
      </c>
      <c r="E148" s="251">
        <v>8.3000000000000007</v>
      </c>
      <c r="F148" s="251">
        <v>4163.8</v>
      </c>
      <c r="G148" s="251">
        <v>61</v>
      </c>
      <c r="H148" s="251">
        <v>1.5</v>
      </c>
      <c r="I148" s="255">
        <f t="shared" si="11"/>
        <v>759.45</v>
      </c>
      <c r="J148" s="251">
        <v>0</v>
      </c>
      <c r="K148" s="255">
        <f t="shared" si="12"/>
        <v>0</v>
      </c>
      <c r="L148" s="251" t="s">
        <v>53</v>
      </c>
      <c r="M148" s="251" t="s">
        <v>54</v>
      </c>
    </row>
    <row r="149" spans="1:13" ht="55" x14ac:dyDescent="0.7">
      <c r="A149" s="251" t="s">
        <v>55</v>
      </c>
      <c r="B149" s="251" t="s">
        <v>88</v>
      </c>
      <c r="C149" s="251" t="s">
        <v>56</v>
      </c>
      <c r="D149" s="251">
        <v>100</v>
      </c>
      <c r="E149" s="251">
        <v>6</v>
      </c>
      <c r="F149" s="251">
        <v>14181.2</v>
      </c>
      <c r="G149" s="251">
        <v>2363</v>
      </c>
      <c r="H149" s="251">
        <v>0.14000000000000001</v>
      </c>
      <c r="I149" s="255">
        <f t="shared" si="11"/>
        <v>1984.9200000000003</v>
      </c>
      <c r="J149" s="251">
        <v>0</v>
      </c>
      <c r="K149" s="255">
        <f t="shared" si="12"/>
        <v>0</v>
      </c>
      <c r="L149" s="251" t="s">
        <v>53</v>
      </c>
      <c r="M149" s="251" t="s">
        <v>57</v>
      </c>
    </row>
    <row r="150" spans="1:13" ht="55" x14ac:dyDescent="0.7">
      <c r="A150" s="251" t="s">
        <v>72</v>
      </c>
      <c r="B150" s="251" t="s">
        <v>73</v>
      </c>
      <c r="C150" s="251" t="s">
        <v>74</v>
      </c>
      <c r="D150" s="251">
        <v>250</v>
      </c>
      <c r="E150" s="251">
        <v>13.9</v>
      </c>
      <c r="F150" s="251">
        <v>388.1</v>
      </c>
      <c r="G150" s="251">
        <v>16</v>
      </c>
      <c r="H150" s="251">
        <v>3.5</v>
      </c>
      <c r="I150" s="255">
        <f t="shared" si="11"/>
        <v>778.4</v>
      </c>
      <c r="J150" s="251">
        <v>0</v>
      </c>
      <c r="K150" s="255">
        <f t="shared" si="12"/>
        <v>0</v>
      </c>
      <c r="L150" s="251" t="s">
        <v>53</v>
      </c>
      <c r="M150" s="251" t="s">
        <v>54</v>
      </c>
    </row>
    <row r="151" spans="1:13" ht="55" x14ac:dyDescent="0.7">
      <c r="A151" s="251" t="s">
        <v>55</v>
      </c>
      <c r="B151" s="251" t="s">
        <v>73</v>
      </c>
      <c r="C151" s="251" t="s">
        <v>56</v>
      </c>
      <c r="D151" s="251">
        <v>150</v>
      </c>
      <c r="E151" s="251">
        <v>8.3000000000000007</v>
      </c>
      <c r="F151" s="251">
        <v>19539.400000000001</v>
      </c>
      <c r="G151" s="251">
        <v>2363</v>
      </c>
      <c r="H151" s="251">
        <v>0.14000000000000001</v>
      </c>
      <c r="I151" s="255">
        <f t="shared" si="11"/>
        <v>2745.8060000000005</v>
      </c>
      <c r="J151" s="251">
        <v>0</v>
      </c>
      <c r="K151" s="255">
        <f t="shared" si="12"/>
        <v>0</v>
      </c>
      <c r="L151" s="251" t="s">
        <v>53</v>
      </c>
      <c r="M151" s="251" t="s">
        <v>57</v>
      </c>
    </row>
    <row r="161" spans="1:13" ht="55" x14ac:dyDescent="0.7">
      <c r="A161" s="251" t="s">
        <v>72</v>
      </c>
      <c r="B161" s="251" t="s">
        <v>84</v>
      </c>
      <c r="C161" s="251" t="s">
        <v>74</v>
      </c>
      <c r="D161" s="251">
        <v>300</v>
      </c>
      <c r="E161" s="251">
        <v>104.5</v>
      </c>
      <c r="F161" s="251">
        <v>2917.9</v>
      </c>
      <c r="G161" s="251">
        <v>16</v>
      </c>
      <c r="H161" s="251">
        <v>3.5</v>
      </c>
      <c r="I161" s="255">
        <f t="shared" ref="I161:I164" si="13">(G161*E161)*H161</f>
        <v>5852</v>
      </c>
      <c r="J161" s="251">
        <v>0</v>
      </c>
      <c r="K161" s="255">
        <f t="shared" ref="K161:K164" si="14">(G161*E161)*J161</f>
        <v>0</v>
      </c>
      <c r="L161" s="251" t="s">
        <v>53</v>
      </c>
      <c r="M161" s="251" t="s">
        <v>54</v>
      </c>
    </row>
    <row r="162" spans="1:13" ht="55" x14ac:dyDescent="0.7">
      <c r="A162" s="251" t="s">
        <v>55</v>
      </c>
      <c r="B162" s="251" t="s">
        <v>84</v>
      </c>
      <c r="C162" s="251" t="s">
        <v>56</v>
      </c>
      <c r="D162" s="251">
        <v>100</v>
      </c>
      <c r="E162" s="251">
        <v>34.700000000000003</v>
      </c>
      <c r="F162" s="251">
        <v>81845.100000000006</v>
      </c>
      <c r="G162" s="251">
        <v>2363</v>
      </c>
      <c r="H162" s="251">
        <v>0.14000000000000001</v>
      </c>
      <c r="I162" s="255">
        <f t="shared" si="13"/>
        <v>11479.454000000002</v>
      </c>
      <c r="J162" s="251">
        <v>0</v>
      </c>
      <c r="K162" s="255">
        <f t="shared" si="14"/>
        <v>0</v>
      </c>
      <c r="L162" s="251" t="s">
        <v>53</v>
      </c>
      <c r="M162" s="251" t="s">
        <v>57</v>
      </c>
    </row>
    <row r="163" spans="1:13" ht="55" x14ac:dyDescent="0.7">
      <c r="A163" s="251" t="s">
        <v>58</v>
      </c>
      <c r="B163" s="251" t="s">
        <v>166</v>
      </c>
      <c r="C163" s="251" t="s">
        <v>32</v>
      </c>
      <c r="D163" s="251">
        <v>540</v>
      </c>
      <c r="E163" s="251">
        <v>17.600000000000001</v>
      </c>
      <c r="F163" s="251">
        <v>42896.4</v>
      </c>
      <c r="G163" s="251">
        <v>2400</v>
      </c>
      <c r="H163" s="251">
        <v>0.19</v>
      </c>
      <c r="I163" s="255">
        <f t="shared" si="13"/>
        <v>8025.6</v>
      </c>
      <c r="J163" s="251">
        <v>0</v>
      </c>
      <c r="K163" s="255">
        <f t="shared" si="14"/>
        <v>0</v>
      </c>
      <c r="L163" s="251" t="s">
        <v>53</v>
      </c>
      <c r="M163" s="251" t="s">
        <v>54</v>
      </c>
    </row>
    <row r="164" spans="1:13" ht="55" x14ac:dyDescent="0.7">
      <c r="A164" s="251" t="s">
        <v>58</v>
      </c>
      <c r="B164" s="251" t="s">
        <v>166</v>
      </c>
      <c r="C164" s="251" t="s">
        <v>32</v>
      </c>
      <c r="D164" s="251">
        <v>740</v>
      </c>
      <c r="E164" s="251">
        <v>20.399999999999999</v>
      </c>
      <c r="F164" s="251">
        <v>49174.7</v>
      </c>
      <c r="G164" s="251">
        <v>2400</v>
      </c>
      <c r="H164" s="251">
        <v>0.19</v>
      </c>
      <c r="I164" s="256">
        <f t="shared" si="13"/>
        <v>9302.4</v>
      </c>
      <c r="J164" s="251">
        <v>0</v>
      </c>
      <c r="K164" s="256">
        <f t="shared" si="14"/>
        <v>0</v>
      </c>
      <c r="L164" s="251" t="s">
        <v>53</v>
      </c>
      <c r="M164" s="251" t="s">
        <v>54</v>
      </c>
    </row>
    <row r="165" spans="1:13" ht="55" x14ac:dyDescent="0.7">
      <c r="A165" s="251" t="s">
        <v>95</v>
      </c>
      <c r="B165" s="251" t="s">
        <v>106</v>
      </c>
      <c r="C165" s="251" t="s">
        <v>30</v>
      </c>
      <c r="D165" s="251">
        <v>440</v>
      </c>
      <c r="E165" s="251">
        <v>31.6</v>
      </c>
      <c r="F165" s="251">
        <v>75898.3</v>
      </c>
      <c r="G165" s="251">
        <v>2375</v>
      </c>
      <c r="H165" s="251">
        <v>0.15</v>
      </c>
      <c r="I165" s="255">
        <f>(G165*E165)*H165</f>
        <v>11257.5</v>
      </c>
      <c r="J165" s="251">
        <v>0</v>
      </c>
      <c r="K165" s="255">
        <f>(G165*E165)*J165</f>
        <v>0</v>
      </c>
      <c r="L165" s="251" t="s">
        <v>53</v>
      </c>
      <c r="M165" s="251" t="s">
        <v>54</v>
      </c>
    </row>
  </sheetData>
  <sheetProtection algorithmName="SHA-512" hashValue="upu2bZb71+0x+0UeqctDuix19IQbgCgykGRjZT3AX+dsTiAiOz46yJ1Q24dFgtcOiOu5BO/1QHwTgnejaH0sww==" saltValue="CDQcij1WmvQIeBbJKPCtYw==" spinCount="100000" sheet="1" objects="1" scenarios="1"/>
  <mergeCells count="1">
    <mergeCell ref="A3:K3"/>
  </mergeCells>
  <pageMargins left="0.7" right="0.7" top="0.75" bottom="0.75" header="0.3" footer="0.3"/>
  <pageSetup paperSize="9" orientation="portrait" verticalDpi="0" r:id="rId1"/>
  <tableParts count="1">
    <tablePart r:id="rId2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310DE6-97F0-4635-8F16-01B26AC4A96F}">
  <sheetPr codeName="Taul5"/>
  <dimension ref="A1:P169"/>
  <sheetViews>
    <sheetView topLeftCell="A151" zoomScale="40" zoomScaleNormal="40" workbookViewId="0">
      <selection sqref="A1:XFD1048576"/>
    </sheetView>
  </sheetViews>
  <sheetFormatPr defaultRowHeight="14.5" x14ac:dyDescent="0.35"/>
  <cols>
    <col min="1" max="1" width="17.26953125" style="49" customWidth="1"/>
    <col min="2" max="2" width="18.81640625" style="49" customWidth="1"/>
    <col min="3" max="3" width="17.81640625" style="49" customWidth="1"/>
    <col min="4" max="4" width="18.54296875" style="49" customWidth="1"/>
    <col min="5" max="5" width="26.1796875" style="49" customWidth="1"/>
    <col min="6" max="6" width="17.26953125" style="49" customWidth="1"/>
    <col min="7" max="7" width="18.54296875" style="49" customWidth="1"/>
    <col min="8" max="8" width="24" style="49" customWidth="1"/>
    <col min="9" max="9" width="16.54296875" style="49" bestFit="1" customWidth="1"/>
    <col min="10" max="10" width="22.453125" style="49" customWidth="1"/>
    <col min="11" max="11" width="18" style="49" customWidth="1"/>
    <col min="12" max="13" width="19.1796875" style="49" customWidth="1"/>
    <col min="14" max="16384" width="8.7265625" style="49"/>
  </cols>
  <sheetData>
    <row r="1" spans="1:14" ht="27.5" x14ac:dyDescent="0.7">
      <c r="A1" s="204" t="s">
        <v>346</v>
      </c>
      <c r="B1" s="204"/>
      <c r="C1" s="204"/>
      <c r="D1" s="204"/>
      <c r="E1" s="204"/>
      <c r="F1" s="204"/>
      <c r="G1" s="204"/>
      <c r="H1" s="204"/>
      <c r="I1" s="204"/>
      <c r="J1" s="204"/>
      <c r="K1" s="204"/>
    </row>
    <row r="2" spans="1:14" ht="27.5" x14ac:dyDescent="0.7">
      <c r="A2" s="204"/>
      <c r="B2" s="204"/>
      <c r="C2" s="204"/>
      <c r="D2" s="204"/>
      <c r="E2" s="204"/>
      <c r="F2" s="204"/>
      <c r="G2" s="204"/>
      <c r="H2" s="204"/>
      <c r="I2" s="204"/>
      <c r="J2" s="204"/>
      <c r="K2" s="204"/>
    </row>
    <row r="3" spans="1:14" ht="27.5" x14ac:dyDescent="0.35">
      <c r="A3" s="267" t="s">
        <v>267</v>
      </c>
      <c r="B3" s="267"/>
      <c r="C3" s="267"/>
      <c r="D3" s="267"/>
      <c r="E3" s="267"/>
      <c r="F3" s="267"/>
      <c r="G3" s="267"/>
      <c r="H3" s="267"/>
      <c r="I3" s="267"/>
      <c r="J3" s="267"/>
      <c r="K3" s="267"/>
      <c r="L3" s="238"/>
      <c r="M3" s="238"/>
      <c r="N3" s="238"/>
    </row>
    <row r="4" spans="1:14" ht="110" x14ac:dyDescent="0.35">
      <c r="A4" s="239" t="s">
        <v>36</v>
      </c>
      <c r="B4" s="239" t="s">
        <v>37</v>
      </c>
      <c r="C4" s="239" t="s">
        <v>38</v>
      </c>
      <c r="D4" s="239" t="s">
        <v>39</v>
      </c>
      <c r="E4" s="239" t="s">
        <v>40</v>
      </c>
      <c r="F4" s="239" t="s">
        <v>41</v>
      </c>
      <c r="G4" s="239" t="s">
        <v>42</v>
      </c>
      <c r="H4" s="239" t="s">
        <v>43</v>
      </c>
      <c r="I4" s="240"/>
      <c r="J4" s="239" t="s">
        <v>45</v>
      </c>
      <c r="K4" s="240"/>
      <c r="L4" s="239" t="s">
        <v>152</v>
      </c>
      <c r="M4" s="239" t="s">
        <v>47</v>
      </c>
      <c r="N4" s="238"/>
    </row>
    <row r="5" spans="1:14" ht="55" x14ac:dyDescent="0.35">
      <c r="A5" s="241" t="s">
        <v>36</v>
      </c>
      <c r="B5" s="239" t="s">
        <v>37</v>
      </c>
      <c r="C5" s="239" t="s">
        <v>38</v>
      </c>
      <c r="D5" s="239" t="s">
        <v>265</v>
      </c>
      <c r="E5" s="239" t="s">
        <v>264</v>
      </c>
      <c r="F5" s="239" t="s">
        <v>113</v>
      </c>
      <c r="G5" s="239" t="s">
        <v>114</v>
      </c>
      <c r="H5" s="239" t="s">
        <v>115</v>
      </c>
      <c r="I5" s="238" t="s">
        <v>44</v>
      </c>
      <c r="J5" s="239" t="s">
        <v>116</v>
      </c>
      <c r="K5" s="238" t="s">
        <v>117</v>
      </c>
      <c r="L5" s="239" t="s">
        <v>152</v>
      </c>
      <c r="M5" s="242" t="s">
        <v>263</v>
      </c>
      <c r="N5" s="238"/>
    </row>
    <row r="6" spans="1:14" ht="110" x14ac:dyDescent="0.35">
      <c r="A6" s="241" t="s">
        <v>75</v>
      </c>
      <c r="B6" s="239" t="s">
        <v>123</v>
      </c>
      <c r="C6" s="239" t="s">
        <v>76</v>
      </c>
      <c r="D6" s="239">
        <v>400</v>
      </c>
      <c r="E6" s="239">
        <v>173</v>
      </c>
      <c r="F6" s="239">
        <v>6921.9</v>
      </c>
      <c r="G6" s="239">
        <v>33</v>
      </c>
      <c r="H6" s="239">
        <v>1.5</v>
      </c>
      <c r="I6" s="238">
        <f t="shared" ref="I6:I37" si="0">(G6*E6)*H6</f>
        <v>8563.5</v>
      </c>
      <c r="J6" s="239">
        <v>0</v>
      </c>
      <c r="K6" s="238">
        <f t="shared" ref="K6:K37" si="1">(G6*E6)*J6</f>
        <v>0</v>
      </c>
      <c r="L6" s="239" t="s">
        <v>53</v>
      </c>
      <c r="M6" s="242" t="s">
        <v>57</v>
      </c>
      <c r="N6" s="238"/>
    </row>
    <row r="7" spans="1:14" ht="110" x14ac:dyDescent="0.35">
      <c r="A7" s="241" t="s">
        <v>89</v>
      </c>
      <c r="B7" s="239" t="s">
        <v>123</v>
      </c>
      <c r="C7" s="239" t="s">
        <v>20</v>
      </c>
      <c r="D7" s="239">
        <v>200</v>
      </c>
      <c r="E7" s="239">
        <v>86.5</v>
      </c>
      <c r="F7" s="239">
        <v>60566.7</v>
      </c>
      <c r="G7" s="239">
        <v>470</v>
      </c>
      <c r="H7" s="239">
        <v>0.2</v>
      </c>
      <c r="I7" s="238">
        <f t="shared" si="0"/>
        <v>8131</v>
      </c>
      <c r="J7" s="239">
        <v>1.6</v>
      </c>
      <c r="K7" s="238">
        <f t="shared" si="1"/>
        <v>65048</v>
      </c>
      <c r="L7" s="239" t="s">
        <v>53</v>
      </c>
      <c r="M7" s="242" t="s">
        <v>54</v>
      </c>
      <c r="N7" s="238"/>
    </row>
    <row r="8" spans="1:14" ht="110" x14ac:dyDescent="0.35">
      <c r="A8" s="241" t="s">
        <v>98</v>
      </c>
      <c r="B8" s="239" t="s">
        <v>99</v>
      </c>
      <c r="C8" s="239" t="s">
        <v>100</v>
      </c>
      <c r="D8" s="239">
        <v>125</v>
      </c>
      <c r="E8" s="239">
        <v>11.9</v>
      </c>
      <c r="F8" s="239">
        <v>16673.3</v>
      </c>
      <c r="G8" s="239">
        <v>644</v>
      </c>
      <c r="H8" s="239">
        <v>0.26</v>
      </c>
      <c r="I8" s="238">
        <f t="shared" si="0"/>
        <v>1992.5360000000001</v>
      </c>
      <c r="J8" s="239">
        <v>0</v>
      </c>
      <c r="K8" s="238">
        <f t="shared" si="1"/>
        <v>0</v>
      </c>
      <c r="L8" s="239" t="s">
        <v>53</v>
      </c>
      <c r="M8" s="242" t="s">
        <v>57</v>
      </c>
      <c r="N8" s="238"/>
    </row>
    <row r="9" spans="1:14" ht="110" x14ac:dyDescent="0.35">
      <c r="A9" s="241" t="s">
        <v>58</v>
      </c>
      <c r="B9" s="239" t="s">
        <v>108</v>
      </c>
      <c r="C9" s="239" t="s">
        <v>32</v>
      </c>
      <c r="D9" s="239">
        <v>200</v>
      </c>
      <c r="E9" s="239">
        <v>64.400000000000006</v>
      </c>
      <c r="F9" s="239">
        <v>154163.6</v>
      </c>
      <c r="G9" s="239">
        <v>2400</v>
      </c>
      <c r="H9" s="239">
        <v>0.19</v>
      </c>
      <c r="I9" s="238">
        <f t="shared" si="0"/>
        <v>29366.400000000001</v>
      </c>
      <c r="J9" s="239">
        <v>0</v>
      </c>
      <c r="K9" s="238">
        <f t="shared" si="1"/>
        <v>0</v>
      </c>
      <c r="L9" s="239" t="s">
        <v>53</v>
      </c>
      <c r="M9" s="242" t="s">
        <v>57</v>
      </c>
      <c r="N9" s="238"/>
    </row>
    <row r="10" spans="1:14" ht="110" x14ac:dyDescent="0.35">
      <c r="A10" s="241" t="s">
        <v>58</v>
      </c>
      <c r="B10" s="239" t="s">
        <v>103</v>
      </c>
      <c r="C10" s="239" t="s">
        <v>32</v>
      </c>
      <c r="D10" s="239">
        <v>300</v>
      </c>
      <c r="E10" s="239">
        <v>15.6</v>
      </c>
      <c r="F10" s="239">
        <v>37538.300000000003</v>
      </c>
      <c r="G10" s="239">
        <v>2400</v>
      </c>
      <c r="H10" s="239">
        <v>0.19</v>
      </c>
      <c r="I10" s="238">
        <f t="shared" si="0"/>
        <v>7113.6</v>
      </c>
      <c r="J10" s="239">
        <v>0</v>
      </c>
      <c r="K10" s="238">
        <f t="shared" si="1"/>
        <v>0</v>
      </c>
      <c r="L10" s="239" t="s">
        <v>53</v>
      </c>
      <c r="M10" s="242" t="s">
        <v>54</v>
      </c>
      <c r="N10" s="238"/>
    </row>
    <row r="11" spans="1:14" ht="110" x14ac:dyDescent="0.35">
      <c r="A11" s="241" t="s">
        <v>58</v>
      </c>
      <c r="B11" s="239" t="s">
        <v>105</v>
      </c>
      <c r="C11" s="239" t="s">
        <v>32</v>
      </c>
      <c r="D11" s="239">
        <v>300</v>
      </c>
      <c r="E11" s="239">
        <v>16.600000000000001</v>
      </c>
      <c r="F11" s="239">
        <v>39910.199999999997</v>
      </c>
      <c r="G11" s="239">
        <v>2400</v>
      </c>
      <c r="H11" s="239">
        <v>0.19</v>
      </c>
      <c r="I11" s="238">
        <f t="shared" si="0"/>
        <v>7569.6</v>
      </c>
      <c r="J11" s="239">
        <v>0</v>
      </c>
      <c r="K11" s="238">
        <f t="shared" si="1"/>
        <v>0</v>
      </c>
      <c r="L11" s="239" t="s">
        <v>53</v>
      </c>
      <c r="M11" s="242" t="s">
        <v>57</v>
      </c>
      <c r="N11" s="238"/>
    </row>
    <row r="12" spans="1:14" ht="82.5" x14ac:dyDescent="0.35">
      <c r="A12" s="241" t="s">
        <v>50</v>
      </c>
      <c r="B12" s="239" t="s">
        <v>97</v>
      </c>
      <c r="C12" s="239" t="s">
        <v>52</v>
      </c>
      <c r="D12" s="239">
        <v>66</v>
      </c>
      <c r="E12" s="239">
        <v>71.5</v>
      </c>
      <c r="F12" s="239">
        <v>34905.199999999997</v>
      </c>
      <c r="G12" s="239">
        <v>61</v>
      </c>
      <c r="H12" s="239">
        <v>1.5</v>
      </c>
      <c r="I12" s="238">
        <f t="shared" si="0"/>
        <v>6542.25</v>
      </c>
      <c r="J12" s="239">
        <v>0</v>
      </c>
      <c r="K12" s="238">
        <f t="shared" si="1"/>
        <v>0</v>
      </c>
      <c r="L12" s="239" t="s">
        <v>53</v>
      </c>
      <c r="M12" s="242" t="s">
        <v>54</v>
      </c>
      <c r="N12" s="238"/>
    </row>
    <row r="13" spans="1:14" ht="55" x14ac:dyDescent="0.35">
      <c r="A13" s="241" t="s">
        <v>79</v>
      </c>
      <c r="B13" s="239" t="s">
        <v>97</v>
      </c>
      <c r="C13" s="239" t="s">
        <v>15</v>
      </c>
      <c r="D13" s="239">
        <v>13</v>
      </c>
      <c r="E13" s="239">
        <v>16.5</v>
      </c>
      <c r="F13" s="239">
        <v>11797.5</v>
      </c>
      <c r="G13" s="239">
        <v>875</v>
      </c>
      <c r="H13" s="239">
        <v>0.28000000000000003</v>
      </c>
      <c r="I13" s="238">
        <f t="shared" si="0"/>
        <v>4042.5000000000005</v>
      </c>
      <c r="J13" s="239">
        <v>0</v>
      </c>
      <c r="K13" s="238">
        <f t="shared" si="1"/>
        <v>0</v>
      </c>
      <c r="L13" s="239" t="s">
        <v>53</v>
      </c>
      <c r="M13" s="242" t="s">
        <v>54</v>
      </c>
      <c r="N13" s="238"/>
    </row>
    <row r="14" spans="1:14" ht="55" x14ac:dyDescent="0.35">
      <c r="A14" s="241" t="s">
        <v>79</v>
      </c>
      <c r="B14" s="239" t="s">
        <v>97</v>
      </c>
      <c r="C14" s="239" t="s">
        <v>15</v>
      </c>
      <c r="D14" s="239">
        <v>13</v>
      </c>
      <c r="E14" s="239">
        <v>16.5</v>
      </c>
      <c r="F14" s="239">
        <v>12953.5</v>
      </c>
      <c r="G14" s="239">
        <v>875</v>
      </c>
      <c r="H14" s="239">
        <v>0.28000000000000003</v>
      </c>
      <c r="I14" s="238">
        <f t="shared" si="0"/>
        <v>4042.5000000000005</v>
      </c>
      <c r="J14" s="239">
        <v>0</v>
      </c>
      <c r="K14" s="238">
        <f t="shared" si="1"/>
        <v>0</v>
      </c>
      <c r="L14" s="239" t="s">
        <v>53</v>
      </c>
      <c r="M14" s="242" t="s">
        <v>57</v>
      </c>
      <c r="N14" s="238"/>
    </row>
    <row r="15" spans="1:14" ht="192.5" x14ac:dyDescent="0.35">
      <c r="A15" s="241" t="s">
        <v>50</v>
      </c>
      <c r="B15" s="239" t="s">
        <v>126</v>
      </c>
      <c r="C15" s="239" t="s">
        <v>52</v>
      </c>
      <c r="D15" s="239">
        <v>98</v>
      </c>
      <c r="E15" s="239">
        <v>7.2</v>
      </c>
      <c r="F15" s="239">
        <v>3523.3</v>
      </c>
      <c r="G15" s="239">
        <v>61</v>
      </c>
      <c r="H15" s="239">
        <v>1.5</v>
      </c>
      <c r="I15" s="238">
        <f t="shared" si="0"/>
        <v>658.8</v>
      </c>
      <c r="J15" s="239">
        <v>0</v>
      </c>
      <c r="K15" s="238">
        <f t="shared" si="1"/>
        <v>0</v>
      </c>
      <c r="L15" s="239" t="s">
        <v>53</v>
      </c>
      <c r="M15" s="242" t="s">
        <v>57</v>
      </c>
      <c r="N15" s="238"/>
    </row>
    <row r="16" spans="1:14" ht="192.5" x14ac:dyDescent="0.35">
      <c r="A16" s="241" t="s">
        <v>59</v>
      </c>
      <c r="B16" s="239" t="s">
        <v>126</v>
      </c>
      <c r="C16" s="239" t="s">
        <v>61</v>
      </c>
      <c r="D16" s="239">
        <v>20</v>
      </c>
      <c r="E16" s="239">
        <v>1.4</v>
      </c>
      <c r="F16" s="239">
        <v>1.9</v>
      </c>
      <c r="G16" s="239">
        <v>0</v>
      </c>
      <c r="H16" s="239">
        <v>0</v>
      </c>
      <c r="I16" s="238">
        <f t="shared" si="0"/>
        <v>0</v>
      </c>
      <c r="J16" s="239">
        <v>0</v>
      </c>
      <c r="K16" s="238">
        <f t="shared" si="1"/>
        <v>0</v>
      </c>
      <c r="L16" s="239" t="s">
        <v>53</v>
      </c>
      <c r="M16" s="242" t="s">
        <v>57</v>
      </c>
      <c r="N16" s="238"/>
    </row>
    <row r="17" spans="1:14" ht="192.5" x14ac:dyDescent="0.35">
      <c r="A17" s="241" t="s">
        <v>79</v>
      </c>
      <c r="B17" s="239" t="s">
        <v>126</v>
      </c>
      <c r="C17" s="239" t="s">
        <v>15</v>
      </c>
      <c r="D17" s="239">
        <v>15</v>
      </c>
      <c r="E17" s="239">
        <v>2</v>
      </c>
      <c r="F17" s="239">
        <v>1938.4</v>
      </c>
      <c r="G17" s="239">
        <v>875</v>
      </c>
      <c r="H17" s="239">
        <v>0.28000000000000003</v>
      </c>
      <c r="I17" s="238">
        <f t="shared" si="0"/>
        <v>490.00000000000006</v>
      </c>
      <c r="J17" s="239">
        <v>0</v>
      </c>
      <c r="K17" s="238">
        <f t="shared" si="1"/>
        <v>0</v>
      </c>
      <c r="L17" s="239" t="s">
        <v>53</v>
      </c>
      <c r="M17" s="242" t="s">
        <v>57</v>
      </c>
      <c r="N17" s="238"/>
    </row>
    <row r="18" spans="1:14" ht="192.5" x14ac:dyDescent="0.35">
      <c r="A18" s="241" t="s">
        <v>79</v>
      </c>
      <c r="B18" s="239" t="s">
        <v>126</v>
      </c>
      <c r="C18" s="239" t="s">
        <v>15</v>
      </c>
      <c r="D18" s="239">
        <v>15</v>
      </c>
      <c r="E18" s="239">
        <v>1</v>
      </c>
      <c r="F18" s="239">
        <v>953.4</v>
      </c>
      <c r="G18" s="239">
        <v>875</v>
      </c>
      <c r="H18" s="239">
        <v>0.28000000000000003</v>
      </c>
      <c r="I18" s="238">
        <f t="shared" si="0"/>
        <v>245.00000000000003</v>
      </c>
      <c r="J18" s="239">
        <v>0</v>
      </c>
      <c r="K18" s="238">
        <f t="shared" si="1"/>
        <v>0</v>
      </c>
      <c r="L18" s="239" t="s">
        <v>53</v>
      </c>
      <c r="M18" s="242" t="s">
        <v>54</v>
      </c>
      <c r="N18" s="238"/>
    </row>
    <row r="19" spans="1:14" ht="192.5" x14ac:dyDescent="0.35">
      <c r="A19" s="241" t="s">
        <v>89</v>
      </c>
      <c r="B19" s="239" t="s">
        <v>126</v>
      </c>
      <c r="C19" s="239" t="s">
        <v>20</v>
      </c>
      <c r="D19" s="239">
        <v>100</v>
      </c>
      <c r="E19" s="239">
        <v>7.2</v>
      </c>
      <c r="F19" s="239">
        <v>5025.3</v>
      </c>
      <c r="G19" s="239">
        <v>470</v>
      </c>
      <c r="H19" s="239">
        <v>0.2</v>
      </c>
      <c r="I19" s="238">
        <f t="shared" si="0"/>
        <v>676.80000000000007</v>
      </c>
      <c r="J19" s="239">
        <v>1.6</v>
      </c>
      <c r="K19" s="238">
        <f t="shared" si="1"/>
        <v>5414.4000000000005</v>
      </c>
      <c r="L19" s="239" t="s">
        <v>53</v>
      </c>
      <c r="M19" s="242" t="s">
        <v>57</v>
      </c>
      <c r="N19" s="238"/>
    </row>
    <row r="20" spans="1:14" ht="82.5" x14ac:dyDescent="0.35">
      <c r="A20" s="241" t="s">
        <v>79</v>
      </c>
      <c r="B20" s="239" t="s">
        <v>128</v>
      </c>
      <c r="C20" s="239" t="s">
        <v>15</v>
      </c>
      <c r="D20" s="239">
        <v>15</v>
      </c>
      <c r="E20" s="239">
        <v>1.8</v>
      </c>
      <c r="F20" s="239">
        <v>1507.9</v>
      </c>
      <c r="G20" s="239">
        <v>875</v>
      </c>
      <c r="H20" s="239">
        <v>0.28000000000000003</v>
      </c>
      <c r="I20" s="238">
        <f t="shared" si="0"/>
        <v>441.00000000000006</v>
      </c>
      <c r="J20" s="239">
        <v>0</v>
      </c>
      <c r="K20" s="238">
        <f t="shared" si="1"/>
        <v>0</v>
      </c>
      <c r="L20" s="239" t="s">
        <v>53</v>
      </c>
      <c r="M20" s="242" t="s">
        <v>57</v>
      </c>
      <c r="N20" s="238"/>
    </row>
    <row r="21" spans="1:14" ht="82.5" x14ac:dyDescent="0.35">
      <c r="A21" s="241" t="s">
        <v>79</v>
      </c>
      <c r="B21" s="239" t="s">
        <v>128</v>
      </c>
      <c r="C21" s="239" t="s">
        <v>15</v>
      </c>
      <c r="D21" s="239">
        <v>15</v>
      </c>
      <c r="E21" s="239">
        <v>1.8</v>
      </c>
      <c r="F21" s="239">
        <v>1378.6</v>
      </c>
      <c r="G21" s="239">
        <v>875</v>
      </c>
      <c r="H21" s="239">
        <v>0.28000000000000003</v>
      </c>
      <c r="I21" s="238">
        <f t="shared" si="0"/>
        <v>441.00000000000006</v>
      </c>
      <c r="J21" s="239">
        <v>0</v>
      </c>
      <c r="K21" s="238">
        <f t="shared" si="1"/>
        <v>0</v>
      </c>
      <c r="L21" s="239" t="s">
        <v>53</v>
      </c>
      <c r="M21" s="242" t="s">
        <v>54</v>
      </c>
      <c r="N21" s="238"/>
    </row>
    <row r="22" spans="1:14" ht="82.5" x14ac:dyDescent="0.35">
      <c r="A22" s="241" t="s">
        <v>89</v>
      </c>
      <c r="B22" s="239" t="s">
        <v>128</v>
      </c>
      <c r="C22" s="239" t="s">
        <v>20</v>
      </c>
      <c r="D22" s="239">
        <v>100</v>
      </c>
      <c r="E22" s="239">
        <v>10.7</v>
      </c>
      <c r="F22" s="239">
        <v>7520.8</v>
      </c>
      <c r="G22" s="239">
        <v>470</v>
      </c>
      <c r="H22" s="239">
        <v>0.2</v>
      </c>
      <c r="I22" s="238">
        <f t="shared" si="0"/>
        <v>1005.8000000000001</v>
      </c>
      <c r="J22" s="239">
        <v>1.6</v>
      </c>
      <c r="K22" s="238">
        <f t="shared" si="1"/>
        <v>8046.4000000000005</v>
      </c>
      <c r="L22" s="239" t="s">
        <v>53</v>
      </c>
      <c r="M22" s="242" t="s">
        <v>54</v>
      </c>
      <c r="N22" s="238"/>
    </row>
    <row r="23" spans="1:14" ht="220" x14ac:dyDescent="0.35">
      <c r="A23" s="241" t="s">
        <v>79</v>
      </c>
      <c r="B23" s="239" t="s">
        <v>129</v>
      </c>
      <c r="C23" s="239" t="s">
        <v>15</v>
      </c>
      <c r="D23" s="239">
        <v>15</v>
      </c>
      <c r="E23" s="239">
        <v>3.5</v>
      </c>
      <c r="F23" s="239">
        <v>3568</v>
      </c>
      <c r="G23" s="239">
        <v>875</v>
      </c>
      <c r="H23" s="239">
        <v>0.28000000000000003</v>
      </c>
      <c r="I23" s="238">
        <f t="shared" si="0"/>
        <v>857.50000000000011</v>
      </c>
      <c r="J23" s="239">
        <v>0</v>
      </c>
      <c r="K23" s="238">
        <f t="shared" si="1"/>
        <v>0</v>
      </c>
      <c r="L23" s="239" t="s">
        <v>53</v>
      </c>
      <c r="M23" s="242" t="s">
        <v>57</v>
      </c>
      <c r="N23" s="238"/>
    </row>
    <row r="24" spans="1:14" ht="220" x14ac:dyDescent="0.35">
      <c r="A24" s="241" t="s">
        <v>79</v>
      </c>
      <c r="B24" s="239" t="s">
        <v>129</v>
      </c>
      <c r="C24" s="239" t="s">
        <v>15</v>
      </c>
      <c r="D24" s="239">
        <v>15</v>
      </c>
      <c r="E24" s="239">
        <v>3.5</v>
      </c>
      <c r="F24" s="239">
        <v>3154.2</v>
      </c>
      <c r="G24" s="239">
        <v>875</v>
      </c>
      <c r="H24" s="239">
        <v>0.28000000000000003</v>
      </c>
      <c r="I24" s="238">
        <f t="shared" si="0"/>
        <v>857.50000000000011</v>
      </c>
      <c r="J24" s="239">
        <v>0</v>
      </c>
      <c r="K24" s="238">
        <f t="shared" si="1"/>
        <v>0</v>
      </c>
      <c r="L24" s="239" t="s">
        <v>53</v>
      </c>
      <c r="M24" s="242" t="s">
        <v>54</v>
      </c>
      <c r="N24" s="238"/>
    </row>
    <row r="25" spans="1:14" ht="220" x14ac:dyDescent="0.35">
      <c r="A25" s="241" t="s">
        <v>89</v>
      </c>
      <c r="B25" s="239" t="s">
        <v>129</v>
      </c>
      <c r="C25" s="239" t="s">
        <v>20</v>
      </c>
      <c r="D25" s="239">
        <v>100</v>
      </c>
      <c r="E25" s="239">
        <v>28.4</v>
      </c>
      <c r="F25" s="239">
        <v>19456.2</v>
      </c>
      <c r="G25" s="239">
        <v>470</v>
      </c>
      <c r="H25" s="239">
        <v>0.2</v>
      </c>
      <c r="I25" s="238">
        <f t="shared" si="0"/>
        <v>2669.6000000000004</v>
      </c>
      <c r="J25" s="239">
        <v>1.6</v>
      </c>
      <c r="K25" s="238">
        <f t="shared" si="1"/>
        <v>21356.800000000003</v>
      </c>
      <c r="L25" s="239" t="s">
        <v>53</v>
      </c>
      <c r="M25" s="242" t="s">
        <v>57</v>
      </c>
      <c r="N25" s="238"/>
    </row>
    <row r="26" spans="1:14" ht="220" x14ac:dyDescent="0.35">
      <c r="A26" s="241" t="s">
        <v>50</v>
      </c>
      <c r="B26" s="239" t="s">
        <v>93</v>
      </c>
      <c r="C26" s="239" t="s">
        <v>52</v>
      </c>
      <c r="D26" s="239">
        <v>66</v>
      </c>
      <c r="E26" s="239">
        <v>19.399999999999999</v>
      </c>
      <c r="F26" s="239">
        <v>10134.799999999999</v>
      </c>
      <c r="G26" s="239">
        <v>61</v>
      </c>
      <c r="H26" s="239">
        <v>1.5</v>
      </c>
      <c r="I26" s="238">
        <f t="shared" si="0"/>
        <v>1775.1</v>
      </c>
      <c r="J26" s="239">
        <v>0</v>
      </c>
      <c r="K26" s="238">
        <f t="shared" si="1"/>
        <v>0</v>
      </c>
      <c r="L26" s="239" t="s">
        <v>53</v>
      </c>
      <c r="M26" s="242" t="s">
        <v>54</v>
      </c>
      <c r="N26" s="238"/>
    </row>
    <row r="27" spans="1:14" ht="220" x14ac:dyDescent="0.35">
      <c r="A27" s="241" t="s">
        <v>79</v>
      </c>
      <c r="B27" s="239" t="s">
        <v>93</v>
      </c>
      <c r="C27" s="239" t="s">
        <v>15</v>
      </c>
      <c r="D27" s="239">
        <v>15</v>
      </c>
      <c r="E27" s="239">
        <v>7</v>
      </c>
      <c r="F27" s="239">
        <v>7980.6</v>
      </c>
      <c r="G27" s="239">
        <v>875</v>
      </c>
      <c r="H27" s="239">
        <v>0.28000000000000003</v>
      </c>
      <c r="I27" s="238">
        <f t="shared" si="0"/>
        <v>1715.0000000000002</v>
      </c>
      <c r="J27" s="239">
        <v>0</v>
      </c>
      <c r="K27" s="238">
        <f t="shared" si="1"/>
        <v>0</v>
      </c>
      <c r="L27" s="239" t="s">
        <v>53</v>
      </c>
      <c r="M27" s="242" t="s">
        <v>57</v>
      </c>
      <c r="N27" s="238"/>
    </row>
    <row r="28" spans="1:14" ht="192.5" x14ac:dyDescent="0.35">
      <c r="A28" s="241" t="s">
        <v>50</v>
      </c>
      <c r="B28" s="239" t="s">
        <v>125</v>
      </c>
      <c r="C28" s="239" t="s">
        <v>52</v>
      </c>
      <c r="D28" s="239">
        <v>68</v>
      </c>
      <c r="E28" s="239">
        <v>26.1</v>
      </c>
      <c r="F28" s="239">
        <v>12924.1</v>
      </c>
      <c r="G28" s="239">
        <v>61</v>
      </c>
      <c r="H28" s="239">
        <v>1.5</v>
      </c>
      <c r="I28" s="238">
        <f t="shared" si="0"/>
        <v>2388.15</v>
      </c>
      <c r="J28" s="239">
        <v>0</v>
      </c>
      <c r="K28" s="238">
        <f t="shared" si="1"/>
        <v>0</v>
      </c>
      <c r="L28" s="239" t="s">
        <v>53</v>
      </c>
      <c r="M28" s="242" t="s">
        <v>54</v>
      </c>
      <c r="N28" s="238"/>
    </row>
    <row r="29" spans="1:14" ht="192.5" x14ac:dyDescent="0.35">
      <c r="A29" s="241" t="s">
        <v>59</v>
      </c>
      <c r="B29" s="239" t="s">
        <v>125</v>
      </c>
      <c r="C29" s="239" t="s">
        <v>61</v>
      </c>
      <c r="D29" s="239">
        <v>20</v>
      </c>
      <c r="E29" s="239">
        <v>7.9</v>
      </c>
      <c r="F29" s="239">
        <v>9</v>
      </c>
      <c r="G29" s="239">
        <v>0</v>
      </c>
      <c r="H29" s="239">
        <v>0</v>
      </c>
      <c r="I29" s="238">
        <f t="shared" si="0"/>
        <v>0</v>
      </c>
      <c r="J29" s="239">
        <v>0</v>
      </c>
      <c r="K29" s="238">
        <f t="shared" si="1"/>
        <v>0</v>
      </c>
      <c r="L29" s="239" t="s">
        <v>53</v>
      </c>
      <c r="M29" s="242" t="s">
        <v>54</v>
      </c>
      <c r="N29" s="238"/>
    </row>
    <row r="30" spans="1:14" ht="192.5" x14ac:dyDescent="0.35">
      <c r="A30" s="241" t="s">
        <v>79</v>
      </c>
      <c r="B30" s="239" t="s">
        <v>125</v>
      </c>
      <c r="C30" s="239" t="s">
        <v>15</v>
      </c>
      <c r="D30" s="239">
        <v>15</v>
      </c>
      <c r="E30" s="239">
        <v>13.9</v>
      </c>
      <c r="F30" s="239">
        <v>13499.4</v>
      </c>
      <c r="G30" s="239">
        <v>875</v>
      </c>
      <c r="H30" s="239">
        <v>0.28000000000000003</v>
      </c>
      <c r="I30" s="238">
        <f t="shared" si="0"/>
        <v>3405.5000000000005</v>
      </c>
      <c r="J30" s="239">
        <v>0</v>
      </c>
      <c r="K30" s="238">
        <f t="shared" si="1"/>
        <v>0</v>
      </c>
      <c r="L30" s="239" t="s">
        <v>53</v>
      </c>
      <c r="M30" s="242" t="s">
        <v>57</v>
      </c>
      <c r="N30" s="238"/>
    </row>
    <row r="31" spans="1:14" ht="192.5" x14ac:dyDescent="0.35">
      <c r="A31" s="241" t="s">
        <v>89</v>
      </c>
      <c r="B31" s="239" t="s">
        <v>125</v>
      </c>
      <c r="C31" s="239" t="s">
        <v>20</v>
      </c>
      <c r="D31" s="239">
        <v>100</v>
      </c>
      <c r="E31" s="239">
        <v>36.9</v>
      </c>
      <c r="F31" s="239">
        <v>26264.6</v>
      </c>
      <c r="G31" s="239">
        <v>470</v>
      </c>
      <c r="H31" s="239">
        <v>0.2</v>
      </c>
      <c r="I31" s="238">
        <f t="shared" si="0"/>
        <v>3468.6000000000004</v>
      </c>
      <c r="J31" s="239">
        <v>1.6</v>
      </c>
      <c r="K31" s="238">
        <f t="shared" si="1"/>
        <v>27748.800000000003</v>
      </c>
      <c r="L31" s="239" t="s">
        <v>53</v>
      </c>
      <c r="M31" s="242" t="s">
        <v>54</v>
      </c>
      <c r="N31" s="238"/>
    </row>
    <row r="32" spans="1:14" ht="82.5" x14ac:dyDescent="0.35">
      <c r="A32" s="241" t="s">
        <v>50</v>
      </c>
      <c r="B32" s="239" t="s">
        <v>124</v>
      </c>
      <c r="C32" s="239" t="s">
        <v>52</v>
      </c>
      <c r="D32" s="239">
        <v>50</v>
      </c>
      <c r="E32" s="239">
        <v>42.9</v>
      </c>
      <c r="F32" s="239">
        <v>21704.7</v>
      </c>
      <c r="G32" s="239">
        <v>61</v>
      </c>
      <c r="H32" s="239">
        <v>1.5</v>
      </c>
      <c r="I32" s="238">
        <f t="shared" si="0"/>
        <v>3925.3500000000004</v>
      </c>
      <c r="J32" s="239">
        <v>0</v>
      </c>
      <c r="K32" s="238">
        <f t="shared" si="1"/>
        <v>0</v>
      </c>
      <c r="L32" s="239" t="s">
        <v>53</v>
      </c>
      <c r="M32" s="242" t="s">
        <v>54</v>
      </c>
      <c r="N32" s="238"/>
    </row>
    <row r="33" spans="1:14" ht="55" x14ac:dyDescent="0.35">
      <c r="A33" s="241" t="s">
        <v>79</v>
      </c>
      <c r="B33" s="239" t="s">
        <v>124</v>
      </c>
      <c r="C33" s="239" t="s">
        <v>15</v>
      </c>
      <c r="D33" s="239">
        <v>15</v>
      </c>
      <c r="E33" s="239">
        <v>25.1</v>
      </c>
      <c r="F33" s="239">
        <v>20562.2</v>
      </c>
      <c r="G33" s="239">
        <v>875</v>
      </c>
      <c r="H33" s="239">
        <v>0.28000000000000003</v>
      </c>
      <c r="I33" s="238">
        <f t="shared" si="0"/>
        <v>6149.5000000000009</v>
      </c>
      <c r="J33" s="239">
        <v>0</v>
      </c>
      <c r="K33" s="238">
        <f t="shared" si="1"/>
        <v>0</v>
      </c>
      <c r="L33" s="239" t="s">
        <v>53</v>
      </c>
      <c r="M33" s="242" t="s">
        <v>57</v>
      </c>
      <c r="N33" s="238"/>
    </row>
    <row r="34" spans="1:14" ht="55" x14ac:dyDescent="0.35">
      <c r="A34" s="241" t="s">
        <v>89</v>
      </c>
      <c r="B34" s="239" t="s">
        <v>124</v>
      </c>
      <c r="C34" s="239" t="s">
        <v>20</v>
      </c>
      <c r="D34" s="239">
        <v>100</v>
      </c>
      <c r="E34" s="239">
        <v>170.4</v>
      </c>
      <c r="F34" s="239">
        <v>119539.8</v>
      </c>
      <c r="G34" s="239">
        <v>470</v>
      </c>
      <c r="H34" s="239">
        <v>0.2</v>
      </c>
      <c r="I34" s="238">
        <f t="shared" si="0"/>
        <v>16017.6</v>
      </c>
      <c r="J34" s="239">
        <v>1.6</v>
      </c>
      <c r="K34" s="238">
        <f t="shared" si="1"/>
        <v>128140.8</v>
      </c>
      <c r="L34" s="239" t="s">
        <v>53</v>
      </c>
      <c r="M34" s="242" t="s">
        <v>54</v>
      </c>
      <c r="N34" s="238"/>
    </row>
    <row r="35" spans="1:14" ht="110" x14ac:dyDescent="0.35">
      <c r="A35" s="241" t="s">
        <v>95</v>
      </c>
      <c r="B35" s="239" t="s">
        <v>96</v>
      </c>
      <c r="C35" s="239" t="s">
        <v>30</v>
      </c>
      <c r="D35" s="239">
        <v>300</v>
      </c>
      <c r="E35" s="239">
        <v>3.8</v>
      </c>
      <c r="F35" s="239">
        <v>9014</v>
      </c>
      <c r="G35" s="239">
        <v>2375</v>
      </c>
      <c r="H35" s="239">
        <v>0.15</v>
      </c>
      <c r="I35" s="238">
        <f t="shared" si="0"/>
        <v>1353.75</v>
      </c>
      <c r="J35" s="239">
        <v>0</v>
      </c>
      <c r="K35" s="238">
        <f t="shared" si="1"/>
        <v>0</v>
      </c>
      <c r="L35" s="239" t="s">
        <v>53</v>
      </c>
      <c r="M35" s="242" t="s">
        <v>54</v>
      </c>
      <c r="N35" s="238"/>
    </row>
    <row r="36" spans="1:14" ht="110" x14ac:dyDescent="0.35">
      <c r="A36" s="241" t="s">
        <v>95</v>
      </c>
      <c r="B36" s="239" t="s">
        <v>104</v>
      </c>
      <c r="C36" s="239" t="s">
        <v>30</v>
      </c>
      <c r="D36" s="239">
        <v>200</v>
      </c>
      <c r="E36" s="239">
        <v>16.3</v>
      </c>
      <c r="F36" s="239">
        <v>38202.800000000003</v>
      </c>
      <c r="G36" s="239">
        <v>2375</v>
      </c>
      <c r="H36" s="239">
        <v>0.15</v>
      </c>
      <c r="I36" s="238">
        <f t="shared" si="0"/>
        <v>5806.875</v>
      </c>
      <c r="J36" s="239">
        <v>0</v>
      </c>
      <c r="K36" s="238">
        <f t="shared" si="1"/>
        <v>0</v>
      </c>
      <c r="L36" s="239" t="s">
        <v>53</v>
      </c>
      <c r="M36" s="242" t="s">
        <v>54</v>
      </c>
      <c r="N36" s="238"/>
    </row>
    <row r="37" spans="1:14" ht="110" x14ac:dyDescent="0.35">
      <c r="A37" s="241" t="s">
        <v>59</v>
      </c>
      <c r="B37" s="239" t="s">
        <v>120</v>
      </c>
      <c r="C37" s="239" t="s">
        <v>61</v>
      </c>
      <c r="D37" s="239">
        <v>230</v>
      </c>
      <c r="E37" s="239">
        <v>53.1</v>
      </c>
      <c r="F37" s="239">
        <v>63.6</v>
      </c>
      <c r="G37" s="239">
        <v>0</v>
      </c>
      <c r="H37" s="239">
        <v>0</v>
      </c>
      <c r="I37" s="238">
        <f t="shared" si="0"/>
        <v>0</v>
      </c>
      <c r="J37" s="239">
        <v>0</v>
      </c>
      <c r="K37" s="238">
        <f t="shared" si="1"/>
        <v>0</v>
      </c>
      <c r="L37" s="239" t="s">
        <v>53</v>
      </c>
      <c r="M37" s="242" t="s">
        <v>54</v>
      </c>
      <c r="N37" s="238"/>
    </row>
    <row r="38" spans="1:14" ht="110" x14ac:dyDescent="0.35">
      <c r="A38" s="241" t="s">
        <v>79</v>
      </c>
      <c r="B38" s="239" t="s">
        <v>120</v>
      </c>
      <c r="C38" s="239" t="s">
        <v>15</v>
      </c>
      <c r="D38" s="239">
        <v>15</v>
      </c>
      <c r="E38" s="239">
        <v>10.5</v>
      </c>
      <c r="F38" s="239">
        <v>9326.2999999999993</v>
      </c>
      <c r="G38" s="239">
        <v>875</v>
      </c>
      <c r="H38" s="239">
        <v>0.28000000000000003</v>
      </c>
      <c r="I38" s="238">
        <f t="shared" ref="I38:I69" si="2">(G38*E38)*H38</f>
        <v>2572.5000000000005</v>
      </c>
      <c r="J38" s="239">
        <v>0</v>
      </c>
      <c r="K38" s="238">
        <f t="shared" ref="K38:K69" si="3">(G38*E38)*J38</f>
        <v>0</v>
      </c>
      <c r="L38" s="239" t="s">
        <v>53</v>
      </c>
      <c r="M38" s="242" t="s">
        <v>54</v>
      </c>
      <c r="N38" s="238"/>
    </row>
    <row r="39" spans="1:14" ht="110" x14ac:dyDescent="0.35">
      <c r="A39" s="241" t="s">
        <v>89</v>
      </c>
      <c r="B39" s="239" t="s">
        <v>120</v>
      </c>
      <c r="C39" s="239" t="s">
        <v>20</v>
      </c>
      <c r="D39" s="239">
        <v>200</v>
      </c>
      <c r="E39" s="239">
        <v>47.5</v>
      </c>
      <c r="F39" s="239">
        <v>33318.1</v>
      </c>
      <c r="G39" s="239">
        <v>470</v>
      </c>
      <c r="H39" s="239">
        <v>0.2</v>
      </c>
      <c r="I39" s="238">
        <f t="shared" si="2"/>
        <v>4465</v>
      </c>
      <c r="J39" s="239">
        <v>1.6</v>
      </c>
      <c r="K39" s="238">
        <f t="shared" si="3"/>
        <v>35720</v>
      </c>
      <c r="L39" s="239" t="s">
        <v>53</v>
      </c>
      <c r="M39" s="242" t="s">
        <v>57</v>
      </c>
      <c r="N39" s="238"/>
    </row>
    <row r="40" spans="1:14" ht="165" x14ac:dyDescent="0.35">
      <c r="A40" s="241" t="s">
        <v>101</v>
      </c>
      <c r="B40" s="239" t="s">
        <v>118</v>
      </c>
      <c r="C40" s="239" t="s">
        <v>4</v>
      </c>
      <c r="D40" s="239">
        <v>40</v>
      </c>
      <c r="E40" s="239">
        <v>11</v>
      </c>
      <c r="F40" s="239">
        <v>19186.7</v>
      </c>
      <c r="G40" s="239">
        <v>2353</v>
      </c>
      <c r="H40" s="239">
        <v>0.12</v>
      </c>
      <c r="I40" s="238">
        <f t="shared" si="2"/>
        <v>3105.96</v>
      </c>
      <c r="J40" s="239">
        <v>0</v>
      </c>
      <c r="K40" s="238">
        <f t="shared" si="3"/>
        <v>0</v>
      </c>
      <c r="L40" s="239" t="s">
        <v>53</v>
      </c>
      <c r="M40" s="242" t="s">
        <v>57</v>
      </c>
      <c r="N40" s="238"/>
    </row>
    <row r="41" spans="1:14" ht="165" x14ac:dyDescent="0.35">
      <c r="A41" s="241" t="s">
        <v>50</v>
      </c>
      <c r="B41" s="239" t="s">
        <v>118</v>
      </c>
      <c r="C41" s="239" t="s">
        <v>52</v>
      </c>
      <c r="D41" s="239">
        <v>30</v>
      </c>
      <c r="E41" s="239">
        <v>5.5</v>
      </c>
      <c r="F41" s="239">
        <v>3996.8</v>
      </c>
      <c r="G41" s="239">
        <v>61</v>
      </c>
      <c r="H41" s="239">
        <v>1.5</v>
      </c>
      <c r="I41" s="238">
        <f t="shared" si="2"/>
        <v>503.25</v>
      </c>
      <c r="J41" s="239">
        <v>0</v>
      </c>
      <c r="K41" s="238">
        <f t="shared" si="3"/>
        <v>0</v>
      </c>
      <c r="L41" s="239" t="s">
        <v>53</v>
      </c>
      <c r="M41" s="242" t="s">
        <v>57</v>
      </c>
      <c r="N41" s="238"/>
    </row>
    <row r="42" spans="1:14" ht="165" x14ac:dyDescent="0.35">
      <c r="A42" s="241" t="s">
        <v>64</v>
      </c>
      <c r="B42" s="239" t="s">
        <v>118</v>
      </c>
      <c r="C42" s="239" t="s">
        <v>66</v>
      </c>
      <c r="D42" s="239">
        <v>25</v>
      </c>
      <c r="E42" s="239">
        <v>5.5</v>
      </c>
      <c r="F42" s="239">
        <v>5.5</v>
      </c>
      <c r="G42" s="239">
        <v>0</v>
      </c>
      <c r="H42" s="239">
        <v>0</v>
      </c>
      <c r="I42" s="238">
        <f t="shared" si="2"/>
        <v>0</v>
      </c>
      <c r="J42" s="239">
        <v>0</v>
      </c>
      <c r="K42" s="238">
        <f t="shared" si="3"/>
        <v>0</v>
      </c>
      <c r="L42" s="239" t="s">
        <v>53</v>
      </c>
      <c r="M42" s="242" t="s">
        <v>57</v>
      </c>
      <c r="N42" s="238"/>
    </row>
    <row r="43" spans="1:14" ht="165" x14ac:dyDescent="0.35">
      <c r="A43" s="241" t="s">
        <v>64</v>
      </c>
      <c r="B43" s="239" t="s">
        <v>118</v>
      </c>
      <c r="C43" s="239" t="s">
        <v>66</v>
      </c>
      <c r="D43" s="239">
        <v>150</v>
      </c>
      <c r="E43" s="239">
        <v>38.4</v>
      </c>
      <c r="F43" s="239">
        <v>49</v>
      </c>
      <c r="G43" s="239">
        <v>0</v>
      </c>
      <c r="H43" s="239">
        <v>0</v>
      </c>
      <c r="I43" s="238">
        <f t="shared" si="2"/>
        <v>0</v>
      </c>
      <c r="J43" s="239">
        <v>0</v>
      </c>
      <c r="K43" s="238">
        <f t="shared" si="3"/>
        <v>0</v>
      </c>
      <c r="L43" s="239" t="s">
        <v>53</v>
      </c>
      <c r="M43" s="242" t="s">
        <v>57</v>
      </c>
      <c r="N43" s="238"/>
    </row>
    <row r="44" spans="1:14" ht="165" x14ac:dyDescent="0.35">
      <c r="A44" s="241" t="s">
        <v>121</v>
      </c>
      <c r="B44" s="239" t="s">
        <v>118</v>
      </c>
      <c r="C44" s="239" t="s">
        <v>13</v>
      </c>
      <c r="D44" s="239">
        <v>50</v>
      </c>
      <c r="E44" s="239">
        <v>11</v>
      </c>
      <c r="F44" s="239">
        <v>29313</v>
      </c>
      <c r="G44" s="239">
        <v>1000</v>
      </c>
      <c r="H44" s="239">
        <v>0.05</v>
      </c>
      <c r="I44" s="238">
        <f t="shared" si="2"/>
        <v>550</v>
      </c>
      <c r="J44" s="239">
        <v>0</v>
      </c>
      <c r="K44" s="238">
        <f t="shared" si="3"/>
        <v>0</v>
      </c>
      <c r="L44" s="239" t="s">
        <v>53</v>
      </c>
      <c r="M44" s="242" t="s">
        <v>57</v>
      </c>
      <c r="N44" s="238"/>
    </row>
    <row r="45" spans="1:14" ht="165" x14ac:dyDescent="0.35">
      <c r="A45" s="241" t="s">
        <v>79</v>
      </c>
      <c r="B45" s="239" t="s">
        <v>118</v>
      </c>
      <c r="C45" s="239" t="s">
        <v>15</v>
      </c>
      <c r="D45" s="239">
        <v>15</v>
      </c>
      <c r="E45" s="239">
        <v>5.5</v>
      </c>
      <c r="F45" s="239">
        <v>3206.9</v>
      </c>
      <c r="G45" s="239">
        <v>875</v>
      </c>
      <c r="H45" s="239">
        <v>0.28000000000000003</v>
      </c>
      <c r="I45" s="238">
        <f t="shared" si="2"/>
        <v>1347.5000000000002</v>
      </c>
      <c r="J45" s="239">
        <v>0</v>
      </c>
      <c r="K45" s="238">
        <f t="shared" si="3"/>
        <v>0</v>
      </c>
      <c r="L45" s="239" t="s">
        <v>53</v>
      </c>
      <c r="M45" s="242" t="s">
        <v>57</v>
      </c>
      <c r="N45" s="238"/>
    </row>
    <row r="46" spans="1:14" ht="165" x14ac:dyDescent="0.35">
      <c r="A46" s="241" t="s">
        <v>89</v>
      </c>
      <c r="B46" s="239" t="s">
        <v>118</v>
      </c>
      <c r="C46" s="239" t="s">
        <v>20</v>
      </c>
      <c r="D46" s="239">
        <v>200</v>
      </c>
      <c r="E46" s="239">
        <v>54.9</v>
      </c>
      <c r="F46" s="239">
        <v>37306.800000000003</v>
      </c>
      <c r="G46" s="239">
        <v>470</v>
      </c>
      <c r="H46" s="239">
        <v>0.2</v>
      </c>
      <c r="I46" s="238">
        <f t="shared" si="2"/>
        <v>5160.6000000000004</v>
      </c>
      <c r="J46" s="239">
        <v>1.6</v>
      </c>
      <c r="K46" s="238">
        <f t="shared" si="3"/>
        <v>41284.800000000003</v>
      </c>
      <c r="L46" s="239" t="s">
        <v>53</v>
      </c>
      <c r="M46" s="242" t="s">
        <v>57</v>
      </c>
      <c r="N46" s="238"/>
    </row>
    <row r="47" spans="1:14" ht="110" x14ac:dyDescent="0.35">
      <c r="A47" s="241" t="s">
        <v>101</v>
      </c>
      <c r="B47" s="239" t="s">
        <v>119</v>
      </c>
      <c r="C47" s="239" t="s">
        <v>4</v>
      </c>
      <c r="D47" s="239">
        <v>40</v>
      </c>
      <c r="E47" s="239">
        <v>57.8</v>
      </c>
      <c r="F47" s="239">
        <v>102752.6</v>
      </c>
      <c r="G47" s="239">
        <v>2353</v>
      </c>
      <c r="H47" s="239">
        <v>0.12</v>
      </c>
      <c r="I47" s="238">
        <f t="shared" si="2"/>
        <v>16320.407999999999</v>
      </c>
      <c r="J47" s="239">
        <v>0</v>
      </c>
      <c r="K47" s="238">
        <f t="shared" si="3"/>
        <v>0</v>
      </c>
      <c r="L47" s="239" t="s">
        <v>53</v>
      </c>
      <c r="M47" s="242" t="s">
        <v>57</v>
      </c>
      <c r="N47" s="238"/>
    </row>
    <row r="48" spans="1:14" ht="110" x14ac:dyDescent="0.35">
      <c r="A48" s="241" t="s">
        <v>50</v>
      </c>
      <c r="B48" s="239" t="s">
        <v>119</v>
      </c>
      <c r="C48" s="239" t="s">
        <v>52</v>
      </c>
      <c r="D48" s="239">
        <v>30</v>
      </c>
      <c r="E48" s="239">
        <v>42</v>
      </c>
      <c r="F48" s="239">
        <v>21406.7</v>
      </c>
      <c r="G48" s="239">
        <v>61</v>
      </c>
      <c r="H48" s="239">
        <v>1.5</v>
      </c>
      <c r="I48" s="238">
        <f t="shared" si="2"/>
        <v>3843</v>
      </c>
      <c r="J48" s="239">
        <v>0</v>
      </c>
      <c r="K48" s="238">
        <f t="shared" si="3"/>
        <v>0</v>
      </c>
      <c r="L48" s="239" t="s">
        <v>53</v>
      </c>
      <c r="M48" s="242" t="s">
        <v>57</v>
      </c>
      <c r="N48" s="238"/>
    </row>
    <row r="49" spans="1:14" ht="110" x14ac:dyDescent="0.35">
      <c r="A49" s="241" t="s">
        <v>64</v>
      </c>
      <c r="B49" s="239" t="s">
        <v>119</v>
      </c>
      <c r="C49" s="239" t="s">
        <v>66</v>
      </c>
      <c r="D49" s="239">
        <v>25</v>
      </c>
      <c r="E49" s="239">
        <v>35.4</v>
      </c>
      <c r="F49" s="239">
        <v>41.9</v>
      </c>
      <c r="G49" s="239">
        <v>0</v>
      </c>
      <c r="H49" s="239">
        <v>0</v>
      </c>
      <c r="I49" s="238">
        <f t="shared" si="2"/>
        <v>0</v>
      </c>
      <c r="J49" s="239">
        <v>0</v>
      </c>
      <c r="K49" s="238">
        <f t="shared" si="3"/>
        <v>0</v>
      </c>
      <c r="L49" s="239" t="s">
        <v>53</v>
      </c>
      <c r="M49" s="242" t="s">
        <v>54</v>
      </c>
      <c r="N49" s="238"/>
    </row>
    <row r="50" spans="1:14" ht="110" x14ac:dyDescent="0.35">
      <c r="A50" s="241" t="s">
        <v>64</v>
      </c>
      <c r="B50" s="239" t="s">
        <v>119</v>
      </c>
      <c r="C50" s="239" t="s">
        <v>66</v>
      </c>
      <c r="D50" s="239">
        <v>48</v>
      </c>
      <c r="E50" s="239">
        <v>69</v>
      </c>
      <c r="F50" s="239">
        <v>81.2</v>
      </c>
      <c r="G50" s="239">
        <v>0</v>
      </c>
      <c r="H50" s="239">
        <v>0</v>
      </c>
      <c r="I50" s="238">
        <f t="shared" si="2"/>
        <v>0</v>
      </c>
      <c r="J50" s="239">
        <v>0</v>
      </c>
      <c r="K50" s="238">
        <f t="shared" si="3"/>
        <v>0</v>
      </c>
      <c r="L50" s="239" t="s">
        <v>53</v>
      </c>
      <c r="M50" s="242" t="s">
        <v>54</v>
      </c>
      <c r="N50" s="238"/>
    </row>
    <row r="51" spans="1:14" ht="110" x14ac:dyDescent="0.35">
      <c r="A51" s="241" t="s">
        <v>121</v>
      </c>
      <c r="B51" s="239" t="s">
        <v>119</v>
      </c>
      <c r="C51" s="239" t="s">
        <v>13</v>
      </c>
      <c r="D51" s="239">
        <v>50</v>
      </c>
      <c r="E51" s="239">
        <v>70</v>
      </c>
      <c r="F51" s="239">
        <v>156982.29999999999</v>
      </c>
      <c r="G51" s="239">
        <v>1000</v>
      </c>
      <c r="H51" s="239">
        <v>0.05</v>
      </c>
      <c r="I51" s="238">
        <f t="shared" si="2"/>
        <v>3500</v>
      </c>
      <c r="J51" s="239">
        <v>0</v>
      </c>
      <c r="K51" s="238">
        <f t="shared" si="3"/>
        <v>0</v>
      </c>
      <c r="L51" s="239" t="s">
        <v>53</v>
      </c>
      <c r="M51" s="242" t="s">
        <v>57</v>
      </c>
      <c r="N51" s="238"/>
    </row>
    <row r="52" spans="1:14" ht="110" x14ac:dyDescent="0.35">
      <c r="A52" s="241" t="s">
        <v>79</v>
      </c>
      <c r="B52" s="239" t="s">
        <v>119</v>
      </c>
      <c r="C52" s="239" t="s">
        <v>15</v>
      </c>
      <c r="D52" s="239">
        <v>15</v>
      </c>
      <c r="E52" s="239">
        <v>22.4</v>
      </c>
      <c r="F52" s="239">
        <v>19071.7</v>
      </c>
      <c r="G52" s="239">
        <v>875</v>
      </c>
      <c r="H52" s="239">
        <v>0.28000000000000003</v>
      </c>
      <c r="I52" s="238">
        <f t="shared" si="2"/>
        <v>5488.0000000000009</v>
      </c>
      <c r="J52" s="239">
        <v>0</v>
      </c>
      <c r="K52" s="238">
        <f t="shared" si="3"/>
        <v>0</v>
      </c>
      <c r="L52" s="239" t="s">
        <v>53</v>
      </c>
      <c r="M52" s="242" t="s">
        <v>54</v>
      </c>
      <c r="N52" s="238"/>
    </row>
    <row r="53" spans="1:14" ht="110" x14ac:dyDescent="0.35">
      <c r="A53" s="241" t="s">
        <v>89</v>
      </c>
      <c r="B53" s="239" t="s">
        <v>119</v>
      </c>
      <c r="C53" s="239" t="s">
        <v>20</v>
      </c>
      <c r="D53" s="239">
        <v>200</v>
      </c>
      <c r="E53" s="239">
        <v>284.7</v>
      </c>
      <c r="F53" s="239">
        <v>199797.5</v>
      </c>
      <c r="G53" s="239">
        <v>470</v>
      </c>
      <c r="H53" s="239">
        <v>0.2</v>
      </c>
      <c r="I53" s="238">
        <f t="shared" si="2"/>
        <v>26761.800000000003</v>
      </c>
      <c r="J53" s="239">
        <v>1.6</v>
      </c>
      <c r="K53" s="238">
        <f t="shared" si="3"/>
        <v>214094.40000000002</v>
      </c>
      <c r="L53" s="239" t="s">
        <v>53</v>
      </c>
      <c r="M53" s="242" t="s">
        <v>54</v>
      </c>
      <c r="N53" s="238"/>
    </row>
    <row r="54" spans="1:14" ht="55" x14ac:dyDescent="0.35">
      <c r="A54" s="241" t="s">
        <v>90</v>
      </c>
      <c r="B54" s="239" t="s">
        <v>91</v>
      </c>
      <c r="C54" s="239" t="s">
        <v>22</v>
      </c>
      <c r="D54" s="239">
        <v>25</v>
      </c>
      <c r="E54" s="239">
        <v>14.8</v>
      </c>
      <c r="F54" s="239">
        <v>7424.4</v>
      </c>
      <c r="G54" s="239">
        <v>474</v>
      </c>
      <c r="H54" s="239">
        <v>0.09</v>
      </c>
      <c r="I54" s="238">
        <f t="shared" si="2"/>
        <v>631.36800000000005</v>
      </c>
      <c r="J54" s="239">
        <v>1.6</v>
      </c>
      <c r="K54" s="238">
        <f t="shared" si="3"/>
        <v>11224.320000000002</v>
      </c>
      <c r="L54" s="239" t="s">
        <v>53</v>
      </c>
      <c r="M54" s="242" t="s">
        <v>54</v>
      </c>
      <c r="N54" s="238"/>
    </row>
    <row r="55" spans="1:14" ht="55" x14ac:dyDescent="0.35">
      <c r="A55" s="241" t="s">
        <v>94</v>
      </c>
      <c r="B55" s="239" t="s">
        <v>91</v>
      </c>
      <c r="C55" s="239" t="s">
        <v>28</v>
      </c>
      <c r="D55" s="239">
        <v>2</v>
      </c>
      <c r="E55" s="239">
        <v>1.2</v>
      </c>
      <c r="F55" s="239">
        <v>8553</v>
      </c>
      <c r="G55" s="239">
        <v>7850</v>
      </c>
      <c r="H55" s="239">
        <v>3.1</v>
      </c>
      <c r="I55" s="238">
        <f t="shared" si="2"/>
        <v>29202</v>
      </c>
      <c r="J55" s="239">
        <v>0</v>
      </c>
      <c r="K55" s="238">
        <f t="shared" si="3"/>
        <v>0</v>
      </c>
      <c r="L55" s="239" t="s">
        <v>53</v>
      </c>
      <c r="M55" s="242" t="s">
        <v>54</v>
      </c>
      <c r="N55" s="238"/>
    </row>
    <row r="56" spans="1:14" ht="110" x14ac:dyDescent="0.35">
      <c r="A56" s="241" t="s">
        <v>55</v>
      </c>
      <c r="B56" s="239" t="s">
        <v>88</v>
      </c>
      <c r="C56" s="239" t="s">
        <v>56</v>
      </c>
      <c r="D56" s="239">
        <v>100</v>
      </c>
      <c r="E56" s="239">
        <v>6</v>
      </c>
      <c r="F56" s="239">
        <v>14181.2</v>
      </c>
      <c r="G56" s="239">
        <v>2363</v>
      </c>
      <c r="H56" s="239">
        <v>0.14000000000000001</v>
      </c>
      <c r="I56" s="238">
        <f t="shared" si="2"/>
        <v>1984.9200000000003</v>
      </c>
      <c r="J56" s="239">
        <v>0</v>
      </c>
      <c r="K56" s="238">
        <f t="shared" si="3"/>
        <v>0</v>
      </c>
      <c r="L56" s="239" t="s">
        <v>53</v>
      </c>
      <c r="M56" s="242" t="s">
        <v>57</v>
      </c>
      <c r="N56" s="238"/>
    </row>
    <row r="57" spans="1:14" ht="110" x14ac:dyDescent="0.35">
      <c r="A57" s="241" t="s">
        <v>50</v>
      </c>
      <c r="B57" s="239" t="s">
        <v>88</v>
      </c>
      <c r="C57" s="239" t="s">
        <v>52</v>
      </c>
      <c r="D57" s="239">
        <v>140</v>
      </c>
      <c r="E57" s="239">
        <v>8.3000000000000007</v>
      </c>
      <c r="F57" s="239">
        <v>4163.8</v>
      </c>
      <c r="G57" s="239">
        <v>61</v>
      </c>
      <c r="H57" s="239">
        <v>1.5</v>
      </c>
      <c r="I57" s="238">
        <f t="shared" si="2"/>
        <v>759.45</v>
      </c>
      <c r="J57" s="239">
        <v>0</v>
      </c>
      <c r="K57" s="238">
        <f t="shared" si="3"/>
        <v>0</v>
      </c>
      <c r="L57" s="239" t="s">
        <v>53</v>
      </c>
      <c r="M57" s="242" t="s">
        <v>54</v>
      </c>
      <c r="N57" s="238"/>
    </row>
    <row r="58" spans="1:14" ht="110" x14ac:dyDescent="0.35">
      <c r="A58" s="241" t="s">
        <v>58</v>
      </c>
      <c r="B58" s="239" t="s">
        <v>88</v>
      </c>
      <c r="C58" s="239" t="s">
        <v>32</v>
      </c>
      <c r="D58" s="239">
        <v>300</v>
      </c>
      <c r="E58" s="239">
        <v>16.7</v>
      </c>
      <c r="F58" s="239">
        <v>40079.599999999999</v>
      </c>
      <c r="G58" s="239">
        <v>2400</v>
      </c>
      <c r="H58" s="239">
        <v>0.19</v>
      </c>
      <c r="I58" s="238">
        <f t="shared" si="2"/>
        <v>7615.2</v>
      </c>
      <c r="J58" s="239">
        <v>0</v>
      </c>
      <c r="K58" s="238">
        <f t="shared" si="3"/>
        <v>0</v>
      </c>
      <c r="L58" s="239" t="s">
        <v>53</v>
      </c>
      <c r="M58" s="242" t="s">
        <v>54</v>
      </c>
      <c r="N58" s="238"/>
    </row>
    <row r="59" spans="1:14" ht="110" x14ac:dyDescent="0.35">
      <c r="A59" s="241" t="s">
        <v>55</v>
      </c>
      <c r="B59" s="239" t="s">
        <v>51</v>
      </c>
      <c r="C59" s="239" t="s">
        <v>56</v>
      </c>
      <c r="D59" s="239">
        <v>70</v>
      </c>
      <c r="E59" s="239">
        <v>0</v>
      </c>
      <c r="F59" s="239">
        <v>0</v>
      </c>
      <c r="G59" s="239">
        <v>2363</v>
      </c>
      <c r="H59" s="239">
        <v>0.14000000000000001</v>
      </c>
      <c r="I59" s="238">
        <f t="shared" si="2"/>
        <v>0</v>
      </c>
      <c r="J59" s="239">
        <v>0</v>
      </c>
      <c r="K59" s="238">
        <f t="shared" si="3"/>
        <v>0</v>
      </c>
      <c r="L59" s="239" t="s">
        <v>53</v>
      </c>
      <c r="M59" s="242" t="s">
        <v>57</v>
      </c>
      <c r="N59" s="238"/>
    </row>
    <row r="60" spans="1:14" ht="110" x14ac:dyDescent="0.35">
      <c r="A60" s="241" t="s">
        <v>50</v>
      </c>
      <c r="B60" s="239" t="s">
        <v>51</v>
      </c>
      <c r="C60" s="239" t="s">
        <v>52</v>
      </c>
      <c r="D60" s="239">
        <v>250</v>
      </c>
      <c r="E60" s="239">
        <v>0</v>
      </c>
      <c r="F60" s="239">
        <v>0</v>
      </c>
      <c r="G60" s="239">
        <v>61</v>
      </c>
      <c r="H60" s="239">
        <v>1.5</v>
      </c>
      <c r="I60" s="238">
        <f t="shared" si="2"/>
        <v>0</v>
      </c>
      <c r="J60" s="239">
        <v>0</v>
      </c>
      <c r="K60" s="238">
        <f t="shared" si="3"/>
        <v>0</v>
      </c>
      <c r="L60" s="239" t="s">
        <v>53</v>
      </c>
      <c r="M60" s="242" t="s">
        <v>54</v>
      </c>
      <c r="N60" s="238"/>
    </row>
    <row r="61" spans="1:14" ht="110" x14ac:dyDescent="0.35">
      <c r="A61" s="241" t="s">
        <v>58</v>
      </c>
      <c r="B61" s="239" t="s">
        <v>51</v>
      </c>
      <c r="C61" s="239" t="s">
        <v>32</v>
      </c>
      <c r="D61" s="239">
        <v>150</v>
      </c>
      <c r="E61" s="239">
        <v>0</v>
      </c>
      <c r="F61" s="239">
        <v>0</v>
      </c>
      <c r="G61" s="239">
        <v>2400</v>
      </c>
      <c r="H61" s="239">
        <v>0.19</v>
      </c>
      <c r="I61" s="238">
        <f t="shared" si="2"/>
        <v>0</v>
      </c>
      <c r="J61" s="239">
        <v>0</v>
      </c>
      <c r="K61" s="238">
        <f t="shared" si="3"/>
        <v>0</v>
      </c>
      <c r="L61" s="239" t="s">
        <v>53</v>
      </c>
      <c r="M61" s="242" t="s">
        <v>54</v>
      </c>
      <c r="N61" s="238"/>
    </row>
    <row r="62" spans="1:14" ht="82.5" x14ac:dyDescent="0.35">
      <c r="A62" s="241" t="s">
        <v>70</v>
      </c>
      <c r="B62" s="239" t="s">
        <v>60</v>
      </c>
      <c r="C62" s="239" t="s">
        <v>71</v>
      </c>
      <c r="D62" s="239">
        <v>25</v>
      </c>
      <c r="E62" s="239">
        <v>1.4</v>
      </c>
      <c r="F62" s="239">
        <v>296</v>
      </c>
      <c r="G62" s="239">
        <v>60</v>
      </c>
      <c r="H62" s="239">
        <v>1.02</v>
      </c>
      <c r="I62" s="238">
        <f t="shared" si="2"/>
        <v>85.68</v>
      </c>
      <c r="J62" s="239">
        <v>1.1000000000000001</v>
      </c>
      <c r="K62" s="238">
        <f t="shared" si="3"/>
        <v>92.4</v>
      </c>
      <c r="L62" s="239" t="s">
        <v>53</v>
      </c>
      <c r="M62" s="242" t="s">
        <v>54</v>
      </c>
      <c r="N62" s="238"/>
    </row>
    <row r="63" spans="1:14" ht="82.5" x14ac:dyDescent="0.35">
      <c r="A63" s="241" t="s">
        <v>59</v>
      </c>
      <c r="B63" s="239" t="s">
        <v>60</v>
      </c>
      <c r="C63" s="239" t="s">
        <v>61</v>
      </c>
      <c r="D63" s="239">
        <v>32</v>
      </c>
      <c r="E63" s="239">
        <v>1.8</v>
      </c>
      <c r="F63" s="239">
        <v>2.2000000000000002</v>
      </c>
      <c r="G63" s="239">
        <v>0</v>
      </c>
      <c r="H63" s="239">
        <v>0</v>
      </c>
      <c r="I63" s="238">
        <f t="shared" si="2"/>
        <v>0</v>
      </c>
      <c r="J63" s="239">
        <v>0</v>
      </c>
      <c r="K63" s="238">
        <f t="shared" si="3"/>
        <v>0</v>
      </c>
      <c r="L63" s="239" t="s">
        <v>53</v>
      </c>
      <c r="M63" s="242" t="s">
        <v>57</v>
      </c>
      <c r="N63" s="238"/>
    </row>
    <row r="64" spans="1:14" ht="82.5" x14ac:dyDescent="0.35">
      <c r="A64" s="241" t="s">
        <v>78</v>
      </c>
      <c r="B64" s="239" t="s">
        <v>60</v>
      </c>
      <c r="C64" s="239" t="s">
        <v>26</v>
      </c>
      <c r="D64" s="239">
        <v>28</v>
      </c>
      <c r="E64" s="239">
        <v>1.6</v>
      </c>
      <c r="F64" s="239">
        <v>1160.5999999999999</v>
      </c>
      <c r="G64" s="239">
        <v>474</v>
      </c>
      <c r="H64" s="239">
        <v>0.09</v>
      </c>
      <c r="I64" s="238">
        <f t="shared" si="2"/>
        <v>68.256</v>
      </c>
      <c r="J64" s="239">
        <v>1.6</v>
      </c>
      <c r="K64" s="238">
        <f t="shared" si="3"/>
        <v>1213.4400000000003</v>
      </c>
      <c r="L64" s="239" t="s">
        <v>53</v>
      </c>
      <c r="M64" s="242" t="s">
        <v>57</v>
      </c>
      <c r="N64" s="238"/>
    </row>
    <row r="65" spans="1:14" ht="82.5" x14ac:dyDescent="0.35">
      <c r="A65" s="241" t="s">
        <v>50</v>
      </c>
      <c r="B65" s="239" t="s">
        <v>127</v>
      </c>
      <c r="C65" s="239" t="s">
        <v>52</v>
      </c>
      <c r="D65" s="239">
        <v>175</v>
      </c>
      <c r="E65" s="239">
        <v>193</v>
      </c>
      <c r="F65" s="239">
        <v>96701.5</v>
      </c>
      <c r="G65" s="239">
        <v>61</v>
      </c>
      <c r="H65" s="239">
        <v>1.5</v>
      </c>
      <c r="I65" s="238">
        <f t="shared" si="2"/>
        <v>17659.5</v>
      </c>
      <c r="J65" s="239">
        <v>0</v>
      </c>
      <c r="K65" s="238">
        <f t="shared" si="3"/>
        <v>0</v>
      </c>
      <c r="L65" s="239" t="s">
        <v>53</v>
      </c>
      <c r="M65" s="242" t="s">
        <v>54</v>
      </c>
      <c r="N65" s="238"/>
    </row>
    <row r="66" spans="1:14" ht="82.5" x14ac:dyDescent="0.35">
      <c r="A66" s="241" t="s">
        <v>59</v>
      </c>
      <c r="B66" s="239" t="s">
        <v>127</v>
      </c>
      <c r="C66" s="239" t="s">
        <v>61</v>
      </c>
      <c r="D66" s="239">
        <v>32</v>
      </c>
      <c r="E66" s="239">
        <v>35.5</v>
      </c>
      <c r="F66" s="239">
        <v>43</v>
      </c>
      <c r="G66" s="239">
        <v>0</v>
      </c>
      <c r="H66" s="239">
        <v>0</v>
      </c>
      <c r="I66" s="238">
        <f t="shared" si="2"/>
        <v>0</v>
      </c>
      <c r="J66" s="239">
        <v>0</v>
      </c>
      <c r="K66" s="238">
        <f t="shared" si="3"/>
        <v>0</v>
      </c>
      <c r="L66" s="239" t="s">
        <v>53</v>
      </c>
      <c r="M66" s="242" t="s">
        <v>57</v>
      </c>
      <c r="N66" s="238"/>
    </row>
    <row r="67" spans="1:14" ht="82.5" x14ac:dyDescent="0.35">
      <c r="A67" s="241" t="s">
        <v>79</v>
      </c>
      <c r="B67" s="239" t="s">
        <v>127</v>
      </c>
      <c r="C67" s="239" t="s">
        <v>15</v>
      </c>
      <c r="D67" s="239">
        <v>15</v>
      </c>
      <c r="E67" s="239">
        <v>12.3</v>
      </c>
      <c r="F67" s="239">
        <v>11349.6</v>
      </c>
      <c r="G67" s="239">
        <v>875</v>
      </c>
      <c r="H67" s="239">
        <v>0.28000000000000003</v>
      </c>
      <c r="I67" s="238">
        <f t="shared" si="2"/>
        <v>3013.5000000000005</v>
      </c>
      <c r="J67" s="239">
        <v>0</v>
      </c>
      <c r="K67" s="238">
        <f t="shared" si="3"/>
        <v>0</v>
      </c>
      <c r="L67" s="239" t="s">
        <v>53</v>
      </c>
      <c r="M67" s="242" t="s">
        <v>57</v>
      </c>
      <c r="N67" s="238"/>
    </row>
    <row r="68" spans="1:14" ht="82.5" x14ac:dyDescent="0.35">
      <c r="A68" s="241" t="s">
        <v>89</v>
      </c>
      <c r="B68" s="239" t="s">
        <v>127</v>
      </c>
      <c r="C68" s="239" t="s">
        <v>20</v>
      </c>
      <c r="D68" s="239">
        <v>200</v>
      </c>
      <c r="E68" s="239">
        <v>217</v>
      </c>
      <c r="F68" s="239">
        <v>151482.79999999999</v>
      </c>
      <c r="G68" s="239">
        <v>470</v>
      </c>
      <c r="H68" s="239">
        <v>0.2</v>
      </c>
      <c r="I68" s="238">
        <f t="shared" si="2"/>
        <v>20398</v>
      </c>
      <c r="J68" s="239">
        <v>1.6</v>
      </c>
      <c r="K68" s="238">
        <f t="shared" si="3"/>
        <v>163184</v>
      </c>
      <c r="L68" s="239" t="s">
        <v>53</v>
      </c>
      <c r="M68" s="242" t="s">
        <v>54</v>
      </c>
      <c r="N68" s="238"/>
    </row>
    <row r="69" spans="1:14" ht="82.5" x14ac:dyDescent="0.35">
      <c r="A69" s="241" t="s">
        <v>78</v>
      </c>
      <c r="B69" s="239" t="s">
        <v>127</v>
      </c>
      <c r="C69" s="239" t="s">
        <v>26</v>
      </c>
      <c r="D69" s="239">
        <v>28</v>
      </c>
      <c r="E69" s="239">
        <v>31.5</v>
      </c>
      <c r="F69" s="239">
        <v>21979.5</v>
      </c>
      <c r="G69" s="239">
        <v>474</v>
      </c>
      <c r="H69" s="239">
        <v>0.09</v>
      </c>
      <c r="I69" s="238">
        <f t="shared" si="2"/>
        <v>1343.79</v>
      </c>
      <c r="J69" s="239">
        <v>1.6</v>
      </c>
      <c r="K69" s="238">
        <f t="shared" si="3"/>
        <v>23889.600000000002</v>
      </c>
      <c r="L69" s="239" t="s">
        <v>53</v>
      </c>
      <c r="M69" s="242" t="s">
        <v>57</v>
      </c>
      <c r="N69" s="238"/>
    </row>
    <row r="70" spans="1:14" ht="110" x14ac:dyDescent="0.35">
      <c r="A70" s="241" t="s">
        <v>95</v>
      </c>
      <c r="B70" s="239" t="s">
        <v>106</v>
      </c>
      <c r="C70" s="239" t="s">
        <v>30</v>
      </c>
      <c r="D70" s="239">
        <v>440</v>
      </c>
      <c r="E70" s="239">
        <v>31.6</v>
      </c>
      <c r="F70" s="239">
        <v>75898.3</v>
      </c>
      <c r="G70" s="239">
        <v>2375</v>
      </c>
      <c r="H70" s="239">
        <v>0.15</v>
      </c>
      <c r="I70" s="238">
        <f t="shared" ref="I70:I81" si="4">(G70*E70)*H70</f>
        <v>11257.5</v>
      </c>
      <c r="J70" s="239">
        <v>0</v>
      </c>
      <c r="K70" s="238">
        <f t="shared" ref="K70:K81" si="5">(G70*E70)*J70</f>
        <v>0</v>
      </c>
      <c r="L70" s="239" t="s">
        <v>53</v>
      </c>
      <c r="M70" s="242" t="s">
        <v>54</v>
      </c>
      <c r="N70" s="238"/>
    </row>
    <row r="71" spans="1:14" ht="82.5" x14ac:dyDescent="0.35">
      <c r="A71" s="241" t="s">
        <v>72</v>
      </c>
      <c r="B71" s="239" t="s">
        <v>77</v>
      </c>
      <c r="C71" s="239" t="s">
        <v>74</v>
      </c>
      <c r="D71" s="239">
        <v>140</v>
      </c>
      <c r="E71" s="239">
        <v>37.6</v>
      </c>
      <c r="F71" s="239">
        <v>1051.9000000000001</v>
      </c>
      <c r="G71" s="239">
        <v>16</v>
      </c>
      <c r="H71" s="239">
        <v>3.5</v>
      </c>
      <c r="I71" s="238">
        <f t="shared" si="4"/>
        <v>2105.6</v>
      </c>
      <c r="J71" s="239">
        <v>0</v>
      </c>
      <c r="K71" s="238">
        <f t="shared" si="5"/>
        <v>0</v>
      </c>
      <c r="L71" s="239" t="s">
        <v>53</v>
      </c>
      <c r="M71" s="242" t="s">
        <v>54</v>
      </c>
      <c r="N71" s="238"/>
    </row>
    <row r="72" spans="1:14" ht="110" x14ac:dyDescent="0.35">
      <c r="A72" s="241" t="s">
        <v>95</v>
      </c>
      <c r="B72" s="239" t="s">
        <v>77</v>
      </c>
      <c r="C72" s="239" t="s">
        <v>30</v>
      </c>
      <c r="D72" s="239">
        <v>100</v>
      </c>
      <c r="E72" s="239">
        <v>27.1</v>
      </c>
      <c r="F72" s="239">
        <v>65022.3</v>
      </c>
      <c r="G72" s="239">
        <v>2375</v>
      </c>
      <c r="H72" s="239">
        <v>0.15</v>
      </c>
      <c r="I72" s="238">
        <f t="shared" si="4"/>
        <v>9654.375</v>
      </c>
      <c r="J72" s="239">
        <v>0</v>
      </c>
      <c r="K72" s="238">
        <f t="shared" si="5"/>
        <v>0</v>
      </c>
      <c r="L72" s="239" t="s">
        <v>53</v>
      </c>
      <c r="M72" s="242" t="s">
        <v>54</v>
      </c>
      <c r="N72" s="238"/>
    </row>
    <row r="73" spans="1:14" ht="110" x14ac:dyDescent="0.35">
      <c r="A73" s="241" t="s">
        <v>95</v>
      </c>
      <c r="B73" s="239" t="s">
        <v>77</v>
      </c>
      <c r="C73" s="239" t="s">
        <v>30</v>
      </c>
      <c r="D73" s="239">
        <v>200</v>
      </c>
      <c r="E73" s="239">
        <v>52.8</v>
      </c>
      <c r="F73" s="239">
        <v>126664</v>
      </c>
      <c r="G73" s="239">
        <v>2375</v>
      </c>
      <c r="H73" s="239">
        <v>0.15</v>
      </c>
      <c r="I73" s="238">
        <f t="shared" si="4"/>
        <v>18810</v>
      </c>
      <c r="J73" s="239">
        <v>0</v>
      </c>
      <c r="K73" s="238">
        <f t="shared" si="5"/>
        <v>0</v>
      </c>
      <c r="L73" s="239" t="s">
        <v>53</v>
      </c>
      <c r="M73" s="242" t="s">
        <v>54</v>
      </c>
      <c r="N73" s="238"/>
    </row>
    <row r="74" spans="1:14" ht="110" x14ac:dyDescent="0.35">
      <c r="A74" s="241" t="s">
        <v>95</v>
      </c>
      <c r="B74" s="239" t="s">
        <v>107</v>
      </c>
      <c r="C74" s="239" t="s">
        <v>31</v>
      </c>
      <c r="D74" s="239">
        <v>270</v>
      </c>
      <c r="E74" s="239">
        <v>88.9</v>
      </c>
      <c r="F74" s="239">
        <v>115804.8</v>
      </c>
      <c r="G74" s="239">
        <v>1410</v>
      </c>
      <c r="H74" s="239">
        <v>0.17</v>
      </c>
      <c r="I74" s="238">
        <f t="shared" si="4"/>
        <v>21309.330000000005</v>
      </c>
      <c r="J74" s="239">
        <v>0</v>
      </c>
      <c r="K74" s="238">
        <f t="shared" si="5"/>
        <v>0</v>
      </c>
      <c r="L74" s="239" t="s">
        <v>53</v>
      </c>
      <c r="M74" s="242" t="s">
        <v>54</v>
      </c>
      <c r="N74" s="238"/>
    </row>
    <row r="75" spans="1:14" ht="82.5" x14ac:dyDescent="0.35">
      <c r="A75" s="241" t="s">
        <v>55</v>
      </c>
      <c r="B75" s="239" t="s">
        <v>73</v>
      </c>
      <c r="C75" s="239" t="s">
        <v>56</v>
      </c>
      <c r="D75" s="239">
        <v>150</v>
      </c>
      <c r="E75" s="239">
        <v>8.3000000000000007</v>
      </c>
      <c r="F75" s="239">
        <v>19539.400000000001</v>
      </c>
      <c r="G75" s="239">
        <v>2363</v>
      </c>
      <c r="H75" s="239">
        <v>0.14000000000000001</v>
      </c>
      <c r="I75" s="238">
        <f t="shared" si="4"/>
        <v>2745.8060000000005</v>
      </c>
      <c r="J75" s="239">
        <v>0</v>
      </c>
      <c r="K75" s="238">
        <f t="shared" si="5"/>
        <v>0</v>
      </c>
      <c r="L75" s="239" t="s">
        <v>53</v>
      </c>
      <c r="M75" s="242" t="s">
        <v>57</v>
      </c>
      <c r="N75" s="238"/>
    </row>
    <row r="76" spans="1:14" ht="82.5" x14ac:dyDescent="0.35">
      <c r="A76" s="241" t="s">
        <v>72</v>
      </c>
      <c r="B76" s="239" t="s">
        <v>73</v>
      </c>
      <c r="C76" s="239" t="s">
        <v>74</v>
      </c>
      <c r="D76" s="239">
        <v>250</v>
      </c>
      <c r="E76" s="239">
        <v>13.9</v>
      </c>
      <c r="F76" s="239">
        <v>388.1</v>
      </c>
      <c r="G76" s="239">
        <v>16</v>
      </c>
      <c r="H76" s="239">
        <v>3.5</v>
      </c>
      <c r="I76" s="238">
        <f t="shared" si="4"/>
        <v>778.4</v>
      </c>
      <c r="J76" s="239">
        <v>0</v>
      </c>
      <c r="K76" s="238">
        <f t="shared" si="5"/>
        <v>0</v>
      </c>
      <c r="L76" s="239" t="s">
        <v>53</v>
      </c>
      <c r="M76" s="242" t="s">
        <v>54</v>
      </c>
      <c r="N76" s="238"/>
    </row>
    <row r="77" spans="1:14" ht="82.5" x14ac:dyDescent="0.35">
      <c r="A77" s="241" t="s">
        <v>55</v>
      </c>
      <c r="B77" s="239" t="s">
        <v>84</v>
      </c>
      <c r="C77" s="239" t="s">
        <v>56</v>
      </c>
      <c r="D77" s="239">
        <v>100</v>
      </c>
      <c r="E77" s="239">
        <v>34.700000000000003</v>
      </c>
      <c r="F77" s="239">
        <v>81845.100000000006</v>
      </c>
      <c r="G77" s="239">
        <v>2363</v>
      </c>
      <c r="H77" s="239">
        <v>0.14000000000000001</v>
      </c>
      <c r="I77" s="238">
        <f t="shared" si="4"/>
        <v>11479.454000000002</v>
      </c>
      <c r="J77" s="239">
        <v>0</v>
      </c>
      <c r="K77" s="238">
        <f t="shared" si="5"/>
        <v>0</v>
      </c>
      <c r="L77" s="239" t="s">
        <v>53</v>
      </c>
      <c r="M77" s="242" t="s">
        <v>57</v>
      </c>
      <c r="N77" s="238"/>
    </row>
    <row r="78" spans="1:14" ht="82.5" x14ac:dyDescent="0.35">
      <c r="A78" s="241" t="s">
        <v>72</v>
      </c>
      <c r="B78" s="239" t="s">
        <v>84</v>
      </c>
      <c r="C78" s="239" t="s">
        <v>74</v>
      </c>
      <c r="D78" s="239">
        <v>300</v>
      </c>
      <c r="E78" s="239">
        <v>104.5</v>
      </c>
      <c r="F78" s="239">
        <v>2917.9</v>
      </c>
      <c r="G78" s="239">
        <v>16</v>
      </c>
      <c r="H78" s="239">
        <v>3.5</v>
      </c>
      <c r="I78" s="238">
        <f t="shared" si="4"/>
        <v>5852</v>
      </c>
      <c r="J78" s="239">
        <v>0</v>
      </c>
      <c r="K78" s="238">
        <f t="shared" si="5"/>
        <v>0</v>
      </c>
      <c r="L78" s="239" t="s">
        <v>53</v>
      </c>
      <c r="M78" s="242" t="s">
        <v>54</v>
      </c>
      <c r="N78" s="238"/>
    </row>
    <row r="79" spans="1:14" ht="110" x14ac:dyDescent="0.35">
      <c r="A79" s="241" t="s">
        <v>58</v>
      </c>
      <c r="B79" s="239" t="s">
        <v>166</v>
      </c>
      <c r="C79" s="239" t="s">
        <v>32</v>
      </c>
      <c r="D79" s="239">
        <v>540</v>
      </c>
      <c r="E79" s="239">
        <v>17.600000000000001</v>
      </c>
      <c r="F79" s="239">
        <v>42896.4</v>
      </c>
      <c r="G79" s="239">
        <v>2400</v>
      </c>
      <c r="H79" s="239">
        <v>0.19</v>
      </c>
      <c r="I79" s="238">
        <f t="shared" si="4"/>
        <v>8025.6</v>
      </c>
      <c r="J79" s="239">
        <v>0</v>
      </c>
      <c r="K79" s="238">
        <f t="shared" si="5"/>
        <v>0</v>
      </c>
      <c r="L79" s="239" t="s">
        <v>53</v>
      </c>
      <c r="M79" s="242" t="s">
        <v>54</v>
      </c>
      <c r="N79" s="238"/>
    </row>
    <row r="80" spans="1:14" ht="110" x14ac:dyDescent="0.35">
      <c r="A80" s="241" t="s">
        <v>58</v>
      </c>
      <c r="B80" s="239" t="s">
        <v>166</v>
      </c>
      <c r="C80" s="239" t="s">
        <v>32</v>
      </c>
      <c r="D80" s="239">
        <v>740</v>
      </c>
      <c r="E80" s="239">
        <v>20.399999999999999</v>
      </c>
      <c r="F80" s="239">
        <v>49174.7</v>
      </c>
      <c r="G80" s="239">
        <v>2400</v>
      </c>
      <c r="H80" s="239">
        <v>0.19</v>
      </c>
      <c r="I80" s="238">
        <f t="shared" si="4"/>
        <v>9302.4</v>
      </c>
      <c r="J80" s="239">
        <v>0</v>
      </c>
      <c r="K80" s="238">
        <f t="shared" si="5"/>
        <v>0</v>
      </c>
      <c r="L80" s="239" t="s">
        <v>53</v>
      </c>
      <c r="M80" s="242" t="s">
        <v>54</v>
      </c>
      <c r="N80" s="238"/>
    </row>
    <row r="81" spans="1:16" ht="55" x14ac:dyDescent="0.35">
      <c r="A81" s="241" t="s">
        <v>81</v>
      </c>
      <c r="B81" s="239" t="s">
        <v>82</v>
      </c>
      <c r="C81" s="239" t="s">
        <v>18</v>
      </c>
      <c r="D81" s="239">
        <v>5</v>
      </c>
      <c r="E81" s="239">
        <v>0</v>
      </c>
      <c r="F81" s="239">
        <v>1523.5</v>
      </c>
      <c r="G81" s="239">
        <v>1620</v>
      </c>
      <c r="H81" s="239">
        <v>0.16</v>
      </c>
      <c r="I81" s="238">
        <f t="shared" si="4"/>
        <v>0</v>
      </c>
      <c r="J81" s="239">
        <v>0</v>
      </c>
      <c r="K81" s="238">
        <f t="shared" si="5"/>
        <v>0</v>
      </c>
      <c r="L81" s="239" t="s">
        <v>53</v>
      </c>
      <c r="M81" s="242" t="s">
        <v>83</v>
      </c>
      <c r="N81" s="238"/>
    </row>
    <row r="82" spans="1:16" ht="27.5" x14ac:dyDescent="0.35">
      <c r="A82" s="239" t="s">
        <v>109</v>
      </c>
      <c r="B82" s="239" t="s">
        <v>109</v>
      </c>
      <c r="C82" s="239" t="s">
        <v>109</v>
      </c>
      <c r="D82" s="239" t="s">
        <v>109</v>
      </c>
      <c r="E82" s="239">
        <v>2867</v>
      </c>
      <c r="F82" s="239" t="s">
        <v>109</v>
      </c>
      <c r="G82" s="239" t="s">
        <v>109</v>
      </c>
      <c r="H82" s="239">
        <v>2867</v>
      </c>
      <c r="I82" s="238">
        <f>SUM(I6:I81)</f>
        <v>389412.45800000004</v>
      </c>
      <c r="J82" s="238"/>
      <c r="K82" s="238">
        <f t="shared" ref="K82" si="6">SUM(K6:K81)</f>
        <v>746458.15999999992</v>
      </c>
      <c r="L82" s="239" t="s">
        <v>109</v>
      </c>
      <c r="M82" s="239" t="s">
        <v>109</v>
      </c>
      <c r="N82" s="238"/>
    </row>
    <row r="83" spans="1:16" ht="24.5" x14ac:dyDescent="0.35">
      <c r="A83" s="238"/>
      <c r="B83" s="238"/>
      <c r="C83" s="238"/>
      <c r="D83" s="238"/>
      <c r="E83" s="238"/>
      <c r="F83" s="238"/>
      <c r="G83" s="238"/>
      <c r="H83" s="238"/>
      <c r="I83" s="238"/>
      <c r="J83" s="238"/>
      <c r="K83" s="238"/>
      <c r="L83" s="238"/>
      <c r="M83" s="238"/>
      <c r="N83" s="238"/>
    </row>
    <row r="84" spans="1:16" ht="24.5" x14ac:dyDescent="0.35">
      <c r="A84" s="238"/>
      <c r="B84" s="238"/>
      <c r="C84" s="238"/>
      <c r="D84" s="238"/>
      <c r="E84" s="238"/>
      <c r="F84" s="238"/>
      <c r="G84" s="238"/>
      <c r="H84" s="238"/>
      <c r="I84" s="238"/>
      <c r="J84" s="243">
        <f>I82-K82</f>
        <v>-357045.70199999987</v>
      </c>
      <c r="K84" s="238" t="s">
        <v>44</v>
      </c>
      <c r="L84" s="238"/>
      <c r="M84" s="238"/>
      <c r="N84" s="238"/>
    </row>
    <row r="85" spans="1:16" ht="24.5" x14ac:dyDescent="0.35">
      <c r="A85" s="238"/>
      <c r="B85" s="238"/>
      <c r="C85" s="238"/>
      <c r="D85" s="238"/>
      <c r="E85" s="238"/>
      <c r="F85" s="238"/>
      <c r="G85" s="238"/>
      <c r="H85" s="238"/>
      <c r="I85" s="238"/>
      <c r="J85" s="243">
        <f>J84/1000</f>
        <v>-357.04570199999989</v>
      </c>
      <c r="K85" s="238" t="s">
        <v>110</v>
      </c>
      <c r="L85" s="238"/>
      <c r="M85" s="238"/>
      <c r="N85" s="238"/>
    </row>
    <row r="86" spans="1:16" ht="24.5" x14ac:dyDescent="0.35">
      <c r="A86" s="238"/>
      <c r="B86" s="238"/>
      <c r="C86" s="238"/>
      <c r="D86" s="238"/>
      <c r="E86" s="238"/>
      <c r="F86" s="238"/>
      <c r="G86" s="238"/>
      <c r="H86" s="238"/>
      <c r="I86" s="238"/>
      <c r="J86" s="238"/>
      <c r="K86" s="238"/>
      <c r="L86" s="238"/>
      <c r="M86" s="238"/>
      <c r="N86" s="238"/>
    </row>
    <row r="87" spans="1:16" ht="24.5" x14ac:dyDescent="0.35">
      <c r="A87" s="238"/>
      <c r="B87" s="238"/>
      <c r="C87" s="238"/>
      <c r="D87" s="238"/>
      <c r="E87" s="238"/>
      <c r="F87" s="238"/>
      <c r="G87" s="238"/>
      <c r="H87" s="238"/>
      <c r="I87" s="238"/>
      <c r="J87" s="238"/>
      <c r="K87" s="238"/>
      <c r="L87" s="238"/>
      <c r="M87" s="238"/>
      <c r="N87" s="238"/>
    </row>
    <row r="88" spans="1:16" ht="110" x14ac:dyDescent="0.35">
      <c r="A88" s="239" t="s">
        <v>36</v>
      </c>
      <c r="B88" s="239" t="s">
        <v>37</v>
      </c>
      <c r="C88" s="239" t="s">
        <v>38</v>
      </c>
      <c r="D88" s="239" t="s">
        <v>39</v>
      </c>
      <c r="E88" s="239" t="s">
        <v>40</v>
      </c>
      <c r="F88" s="239" t="s">
        <v>41</v>
      </c>
      <c r="G88" s="239" t="s">
        <v>42</v>
      </c>
      <c r="H88" s="239" t="s">
        <v>43</v>
      </c>
      <c r="I88" s="238"/>
      <c r="J88" s="239" t="s">
        <v>45</v>
      </c>
      <c r="K88" s="238"/>
      <c r="L88" s="239" t="s">
        <v>46</v>
      </c>
      <c r="M88" s="239" t="s">
        <v>47</v>
      </c>
    </row>
    <row r="89" spans="1:16" ht="82.5" x14ac:dyDescent="0.35">
      <c r="A89" s="239" t="s">
        <v>50</v>
      </c>
      <c r="B89" s="239" t="s">
        <v>127</v>
      </c>
      <c r="C89" s="239" t="s">
        <v>52</v>
      </c>
      <c r="D89" s="239">
        <v>175</v>
      </c>
      <c r="E89" s="239">
        <v>193</v>
      </c>
      <c r="F89" s="239">
        <v>96701.5</v>
      </c>
      <c r="G89" s="239">
        <v>61</v>
      </c>
      <c r="H89" s="239">
        <v>1.5</v>
      </c>
      <c r="I89" s="244">
        <f>(G89*E89)*H89</f>
        <v>17659.5</v>
      </c>
      <c r="J89" s="239">
        <v>0</v>
      </c>
      <c r="K89" s="244">
        <f>(G89*E89)*J89</f>
        <v>0</v>
      </c>
      <c r="L89" s="239" t="s">
        <v>53</v>
      </c>
      <c r="M89" s="239" t="s">
        <v>54</v>
      </c>
    </row>
    <row r="90" spans="1:16" ht="82.5" x14ac:dyDescent="0.35">
      <c r="A90" s="239" t="s">
        <v>89</v>
      </c>
      <c r="B90" s="239" t="s">
        <v>127</v>
      </c>
      <c r="C90" s="239" t="s">
        <v>20</v>
      </c>
      <c r="D90" s="239">
        <v>200</v>
      </c>
      <c r="E90" s="239">
        <v>217</v>
      </c>
      <c r="F90" s="239">
        <v>151482.79999999999</v>
      </c>
      <c r="G90" s="239">
        <v>470</v>
      </c>
      <c r="H90" s="239">
        <v>0.2</v>
      </c>
      <c r="I90" s="244">
        <f>(G90*E90)*H90</f>
        <v>20398</v>
      </c>
      <c r="J90" s="239">
        <v>1.6</v>
      </c>
      <c r="K90" s="244">
        <f>(G90*E90)*J90</f>
        <v>163184</v>
      </c>
      <c r="L90" s="239" t="s">
        <v>53</v>
      </c>
      <c r="M90" s="239" t="s">
        <v>54</v>
      </c>
    </row>
    <row r="91" spans="1:16" ht="82.5" x14ac:dyDescent="0.35">
      <c r="A91" s="239" t="s">
        <v>59</v>
      </c>
      <c r="B91" s="239" t="s">
        <v>127</v>
      </c>
      <c r="C91" s="239" t="s">
        <v>61</v>
      </c>
      <c r="D91" s="239">
        <v>32</v>
      </c>
      <c r="E91" s="239">
        <v>35.5</v>
      </c>
      <c r="F91" s="239">
        <v>43</v>
      </c>
      <c r="G91" s="239">
        <v>0</v>
      </c>
      <c r="H91" s="239">
        <v>0</v>
      </c>
      <c r="I91" s="244">
        <f>(G91*E91)*H91</f>
        <v>0</v>
      </c>
      <c r="J91" s="239">
        <v>0</v>
      </c>
      <c r="K91" s="244">
        <f>(G91*E91)*J91</f>
        <v>0</v>
      </c>
      <c r="L91" s="239" t="s">
        <v>53</v>
      </c>
      <c r="M91" s="239" t="s">
        <v>57</v>
      </c>
    </row>
    <row r="92" spans="1:16" ht="82.5" x14ac:dyDescent="0.35">
      <c r="A92" s="239" t="s">
        <v>79</v>
      </c>
      <c r="B92" s="239" t="s">
        <v>127</v>
      </c>
      <c r="C92" s="239" t="s">
        <v>15</v>
      </c>
      <c r="D92" s="239">
        <v>15</v>
      </c>
      <c r="E92" s="239">
        <v>12.3</v>
      </c>
      <c r="F92" s="239">
        <v>11349.6</v>
      </c>
      <c r="G92" s="239">
        <v>875</v>
      </c>
      <c r="H92" s="239">
        <v>0.28000000000000003</v>
      </c>
      <c r="I92" s="244">
        <f>(G92*E92)*H92</f>
        <v>3013.5000000000005</v>
      </c>
      <c r="J92" s="239">
        <v>0</v>
      </c>
      <c r="K92" s="244">
        <f>(G92*E92)*J92</f>
        <v>0</v>
      </c>
      <c r="L92" s="239" t="s">
        <v>53</v>
      </c>
      <c r="M92" s="239" t="s">
        <v>57</v>
      </c>
    </row>
    <row r="93" spans="1:16" ht="82.5" x14ac:dyDescent="0.35">
      <c r="A93" s="239" t="s">
        <v>78</v>
      </c>
      <c r="B93" s="239" t="s">
        <v>127</v>
      </c>
      <c r="C93" s="239" t="s">
        <v>26</v>
      </c>
      <c r="D93" s="239">
        <v>28</v>
      </c>
      <c r="E93" s="239">
        <v>31.5</v>
      </c>
      <c r="F93" s="239">
        <v>21979.5</v>
      </c>
      <c r="G93" s="239">
        <v>474</v>
      </c>
      <c r="H93" s="239">
        <v>0.09</v>
      </c>
      <c r="I93" s="244">
        <f>(G93*E93)*H93</f>
        <v>1343.79</v>
      </c>
      <c r="J93" s="239">
        <v>1.6</v>
      </c>
      <c r="K93" s="244">
        <f>(G93*E93)*J93</f>
        <v>23889.600000000002</v>
      </c>
      <c r="L93" s="239" t="s">
        <v>53</v>
      </c>
      <c r="M93" s="239" t="s">
        <v>57</v>
      </c>
    </row>
    <row r="94" spans="1:16" x14ac:dyDescent="0.35">
      <c r="O94" s="49" t="s">
        <v>160</v>
      </c>
      <c r="P94" s="49" t="s">
        <v>161</v>
      </c>
    </row>
    <row r="95" spans="1:16" x14ac:dyDescent="0.35">
      <c r="A95" s="49" t="s">
        <v>50</v>
      </c>
      <c r="B95" s="49" t="s">
        <v>119</v>
      </c>
      <c r="C95" s="49" t="s">
        <v>52</v>
      </c>
      <c r="D95" s="49">
        <v>30</v>
      </c>
      <c r="E95" s="49">
        <v>42</v>
      </c>
      <c r="F95" s="49">
        <v>21406.7</v>
      </c>
      <c r="G95" s="49">
        <v>61</v>
      </c>
      <c r="H95" s="49">
        <v>1.5</v>
      </c>
      <c r="I95" s="49">
        <v>3843</v>
      </c>
      <c r="J95" s="49">
        <v>0</v>
      </c>
      <c r="K95" s="49">
        <v>0</v>
      </c>
      <c r="M95" s="49" t="s">
        <v>57</v>
      </c>
      <c r="N95" s="49" t="s">
        <v>194</v>
      </c>
      <c r="O95" s="49">
        <f>I95+I102</f>
        <v>4346.25</v>
      </c>
    </row>
    <row r="96" spans="1:16" x14ac:dyDescent="0.35">
      <c r="A96" s="49" t="s">
        <v>89</v>
      </c>
      <c r="B96" s="49" t="s">
        <v>119</v>
      </c>
      <c r="C96" s="49" t="s">
        <v>20</v>
      </c>
      <c r="D96" s="49">
        <v>200</v>
      </c>
      <c r="E96" s="49">
        <v>284.7</v>
      </c>
      <c r="F96" s="49">
        <v>199797.5</v>
      </c>
      <c r="G96" s="49">
        <v>470</v>
      </c>
      <c r="H96" s="49">
        <v>0.2</v>
      </c>
      <c r="I96" s="49">
        <v>26761.800000000003</v>
      </c>
      <c r="J96" s="49">
        <v>1.6</v>
      </c>
      <c r="K96" s="49">
        <v>214094.40000000002</v>
      </c>
      <c r="M96" s="49" t="s">
        <v>54</v>
      </c>
    </row>
    <row r="97" spans="1:16" x14ac:dyDescent="0.35">
      <c r="A97" s="49" t="s">
        <v>79</v>
      </c>
      <c r="B97" s="49" t="s">
        <v>119</v>
      </c>
      <c r="C97" s="49" t="s">
        <v>15</v>
      </c>
      <c r="D97" s="49">
        <v>15</v>
      </c>
      <c r="E97" s="49">
        <v>22.4</v>
      </c>
      <c r="F97" s="49">
        <v>19071.7</v>
      </c>
      <c r="G97" s="49">
        <v>875</v>
      </c>
      <c r="H97" s="49">
        <v>0.28000000000000003</v>
      </c>
      <c r="I97" s="49">
        <v>5488.0000000000009</v>
      </c>
      <c r="J97" s="49">
        <v>0</v>
      </c>
      <c r="K97" s="49">
        <v>0</v>
      </c>
      <c r="M97" s="49" t="s">
        <v>54</v>
      </c>
      <c r="N97" s="49" t="s">
        <v>195</v>
      </c>
      <c r="O97" s="49">
        <f>I96+I103+I109</f>
        <v>36387.4</v>
      </c>
      <c r="P97" s="49">
        <f>K96+K103+K109</f>
        <v>291099.2</v>
      </c>
    </row>
    <row r="98" spans="1:16" x14ac:dyDescent="0.35">
      <c r="A98" s="49" t="s">
        <v>101</v>
      </c>
      <c r="B98" s="49" t="s">
        <v>119</v>
      </c>
      <c r="C98" s="49" t="s">
        <v>4</v>
      </c>
      <c r="D98" s="49">
        <v>40</v>
      </c>
      <c r="E98" s="49">
        <v>57.8</v>
      </c>
      <c r="F98" s="49">
        <v>102752.6</v>
      </c>
      <c r="G98" s="49">
        <v>2353</v>
      </c>
      <c r="H98" s="49">
        <v>0.12</v>
      </c>
      <c r="I98" s="49">
        <v>16320.407999999999</v>
      </c>
      <c r="J98" s="49">
        <v>0</v>
      </c>
      <c r="K98" s="49">
        <v>0</v>
      </c>
      <c r="M98" s="49" t="s">
        <v>57</v>
      </c>
    </row>
    <row r="99" spans="1:16" x14ac:dyDescent="0.35">
      <c r="N99" s="49" t="s">
        <v>196</v>
      </c>
      <c r="O99" s="49">
        <f>I97+I104+I111</f>
        <v>9408.0000000000018</v>
      </c>
    </row>
    <row r="101" spans="1:16" x14ac:dyDescent="0.35">
      <c r="A101" s="49" t="s">
        <v>121</v>
      </c>
      <c r="B101" s="49" t="s">
        <v>119</v>
      </c>
      <c r="C101" s="49" t="s">
        <v>13</v>
      </c>
      <c r="D101" s="49">
        <v>50</v>
      </c>
      <c r="E101" s="49">
        <v>70</v>
      </c>
      <c r="F101" s="49">
        <v>156982.29999999999</v>
      </c>
      <c r="G101" s="49">
        <v>1000</v>
      </c>
      <c r="H101" s="49">
        <v>0.05</v>
      </c>
      <c r="I101" s="49">
        <v>3500</v>
      </c>
      <c r="J101" s="49">
        <v>0</v>
      </c>
      <c r="K101" s="49">
        <v>0</v>
      </c>
      <c r="M101" s="49" t="s">
        <v>57</v>
      </c>
      <c r="N101" s="49" t="s">
        <v>4</v>
      </c>
      <c r="O101" s="49">
        <f>I98+I105</f>
        <v>19426.367999999999</v>
      </c>
    </row>
    <row r="102" spans="1:16" x14ac:dyDescent="0.35">
      <c r="A102" s="49" t="s">
        <v>50</v>
      </c>
      <c r="B102" s="49" t="s">
        <v>118</v>
      </c>
      <c r="C102" s="49" t="s">
        <v>52</v>
      </c>
      <c r="D102" s="49">
        <v>30</v>
      </c>
      <c r="E102" s="49">
        <v>5.5</v>
      </c>
      <c r="F102" s="49">
        <v>3996.8</v>
      </c>
      <c r="G102" s="49">
        <v>61</v>
      </c>
      <c r="H102" s="49">
        <v>1.5</v>
      </c>
      <c r="I102" s="49">
        <v>503.25</v>
      </c>
      <c r="J102" s="49">
        <v>0</v>
      </c>
      <c r="K102" s="49">
        <v>0</v>
      </c>
      <c r="M102" s="49" t="s">
        <v>57</v>
      </c>
    </row>
    <row r="103" spans="1:16" x14ac:dyDescent="0.35">
      <c r="A103" s="49" t="s">
        <v>89</v>
      </c>
      <c r="B103" s="49" t="s">
        <v>118</v>
      </c>
      <c r="C103" s="49" t="s">
        <v>20</v>
      </c>
      <c r="D103" s="49">
        <v>200</v>
      </c>
      <c r="E103" s="49">
        <v>54.9</v>
      </c>
      <c r="F103" s="49">
        <v>37306.800000000003</v>
      </c>
      <c r="G103" s="49">
        <v>470</v>
      </c>
      <c r="H103" s="49">
        <v>0.2</v>
      </c>
      <c r="I103" s="49">
        <v>5160.6000000000004</v>
      </c>
      <c r="J103" s="49">
        <v>1.6</v>
      </c>
      <c r="K103" s="49">
        <v>41284.800000000003</v>
      </c>
      <c r="M103" s="49" t="s">
        <v>57</v>
      </c>
      <c r="N103" s="49" t="s">
        <v>197</v>
      </c>
      <c r="O103" s="49">
        <f>I101+I108</f>
        <v>4050</v>
      </c>
    </row>
    <row r="104" spans="1:16" x14ac:dyDescent="0.35">
      <c r="A104" s="49" t="s">
        <v>79</v>
      </c>
      <c r="B104" s="49" t="s">
        <v>118</v>
      </c>
      <c r="C104" s="49" t="s">
        <v>15</v>
      </c>
      <c r="D104" s="49">
        <v>15</v>
      </c>
      <c r="E104" s="49">
        <v>5.5</v>
      </c>
      <c r="F104" s="49">
        <v>3206.9</v>
      </c>
      <c r="G104" s="49">
        <v>875</v>
      </c>
      <c r="H104" s="49">
        <v>0.28000000000000003</v>
      </c>
      <c r="I104" s="49">
        <v>1347.5000000000002</v>
      </c>
      <c r="J104" s="49">
        <v>0</v>
      </c>
      <c r="K104" s="49">
        <v>0</v>
      </c>
      <c r="M104" s="49" t="s">
        <v>57</v>
      </c>
    </row>
    <row r="105" spans="1:16" x14ac:dyDescent="0.35">
      <c r="A105" s="49" t="s">
        <v>101</v>
      </c>
      <c r="B105" s="49" t="s">
        <v>118</v>
      </c>
      <c r="C105" s="49" t="s">
        <v>4</v>
      </c>
      <c r="D105" s="49">
        <v>40</v>
      </c>
      <c r="E105" s="49">
        <v>11</v>
      </c>
      <c r="F105" s="49">
        <v>19186.7</v>
      </c>
      <c r="G105" s="49">
        <v>2353</v>
      </c>
      <c r="H105" s="49">
        <v>0.12</v>
      </c>
      <c r="I105" s="49">
        <v>3105.96</v>
      </c>
      <c r="J105" s="49">
        <v>0</v>
      </c>
      <c r="K105" s="49">
        <v>0</v>
      </c>
      <c r="M105" s="49" t="s">
        <v>57</v>
      </c>
    </row>
    <row r="108" spans="1:16" x14ac:dyDescent="0.35">
      <c r="A108" s="49" t="s">
        <v>121</v>
      </c>
      <c r="B108" s="49" t="s">
        <v>118</v>
      </c>
      <c r="C108" s="49" t="s">
        <v>13</v>
      </c>
      <c r="D108" s="49">
        <v>50</v>
      </c>
      <c r="E108" s="49">
        <v>11</v>
      </c>
      <c r="F108" s="49">
        <v>29313</v>
      </c>
      <c r="G108" s="49">
        <v>1000</v>
      </c>
      <c r="H108" s="49">
        <v>0.05</v>
      </c>
      <c r="I108" s="49">
        <v>550</v>
      </c>
      <c r="J108" s="49">
        <v>0</v>
      </c>
      <c r="K108" s="49">
        <v>0</v>
      </c>
      <c r="M108" s="49" t="s">
        <v>57</v>
      </c>
    </row>
    <row r="109" spans="1:16" x14ac:dyDescent="0.35">
      <c r="A109" s="49" t="s">
        <v>89</v>
      </c>
      <c r="B109" s="49" t="s">
        <v>120</v>
      </c>
      <c r="C109" s="49" t="s">
        <v>20</v>
      </c>
      <c r="D109" s="49">
        <v>200</v>
      </c>
      <c r="E109" s="49">
        <v>47.5</v>
      </c>
      <c r="F109" s="49">
        <v>33318.1</v>
      </c>
      <c r="G109" s="49">
        <v>470</v>
      </c>
      <c r="H109" s="49">
        <v>0.2</v>
      </c>
      <c r="I109" s="49">
        <v>4465</v>
      </c>
      <c r="J109" s="49">
        <v>1.6</v>
      </c>
      <c r="K109" s="49">
        <v>35720</v>
      </c>
      <c r="M109" s="49" t="s">
        <v>57</v>
      </c>
    </row>
    <row r="111" spans="1:16" x14ac:dyDescent="0.35">
      <c r="A111" s="49" t="s">
        <v>79</v>
      </c>
      <c r="B111" s="49" t="s">
        <v>120</v>
      </c>
      <c r="C111" s="49" t="s">
        <v>15</v>
      </c>
      <c r="D111" s="49">
        <v>15</v>
      </c>
      <c r="E111" s="49">
        <v>10.5</v>
      </c>
      <c r="F111" s="49">
        <v>9326.2999999999993</v>
      </c>
      <c r="G111" s="49">
        <v>875</v>
      </c>
      <c r="H111" s="49">
        <v>0.28000000000000003</v>
      </c>
      <c r="I111" s="49">
        <v>2572.5000000000005</v>
      </c>
      <c r="J111" s="49">
        <v>0</v>
      </c>
      <c r="K111" s="49">
        <v>0</v>
      </c>
      <c r="M111" s="49" t="s">
        <v>54</v>
      </c>
    </row>
    <row r="112" spans="1:16" ht="110" x14ac:dyDescent="0.35">
      <c r="A112" s="239" t="s">
        <v>36</v>
      </c>
      <c r="B112" s="239" t="s">
        <v>37</v>
      </c>
      <c r="C112" s="239" t="s">
        <v>38</v>
      </c>
      <c r="D112" s="239" t="s">
        <v>39</v>
      </c>
      <c r="E112" s="239" t="s">
        <v>40</v>
      </c>
      <c r="F112" s="239" t="s">
        <v>41</v>
      </c>
      <c r="G112" s="239" t="s">
        <v>42</v>
      </c>
      <c r="H112" s="239" t="s">
        <v>43</v>
      </c>
      <c r="I112" s="238"/>
      <c r="J112" s="239" t="s">
        <v>45</v>
      </c>
      <c r="K112" s="238"/>
      <c r="L112" s="239" t="s">
        <v>46</v>
      </c>
      <c r="M112" s="239" t="s">
        <v>47</v>
      </c>
    </row>
    <row r="113" spans="1:15" ht="110" x14ac:dyDescent="0.35">
      <c r="A113" s="239" t="s">
        <v>75</v>
      </c>
      <c r="B113" s="239" t="s">
        <v>123</v>
      </c>
      <c r="C113" s="239" t="s">
        <v>76</v>
      </c>
      <c r="D113" s="239">
        <v>400</v>
      </c>
      <c r="E113" s="239">
        <v>173</v>
      </c>
      <c r="F113" s="239">
        <v>6921.9</v>
      </c>
      <c r="G113" s="239">
        <v>33</v>
      </c>
      <c r="H113" s="239">
        <v>1.5</v>
      </c>
      <c r="I113" s="244">
        <f>(G113*E113)*H113</f>
        <v>8563.5</v>
      </c>
      <c r="J113" s="239">
        <v>0</v>
      </c>
      <c r="K113" s="244">
        <f>(G113*E113)*J113</f>
        <v>0</v>
      </c>
      <c r="L113" s="239" t="s">
        <v>53</v>
      </c>
      <c r="M113" s="239" t="s">
        <v>57</v>
      </c>
    </row>
    <row r="114" spans="1:15" ht="110" x14ac:dyDescent="0.35">
      <c r="A114" s="239" t="s">
        <v>89</v>
      </c>
      <c r="B114" s="239" t="s">
        <v>123</v>
      </c>
      <c r="C114" s="239" t="s">
        <v>20</v>
      </c>
      <c r="D114" s="239">
        <v>200</v>
      </c>
      <c r="E114" s="239">
        <v>86.5</v>
      </c>
      <c r="F114" s="239">
        <v>60566.7</v>
      </c>
      <c r="G114" s="239">
        <v>470</v>
      </c>
      <c r="H114" s="239">
        <v>0.2</v>
      </c>
      <c r="I114" s="244">
        <f>(G114*E114)*H114</f>
        <v>8131</v>
      </c>
      <c r="J114" s="239">
        <v>1.6</v>
      </c>
      <c r="K114" s="244">
        <f>(G114*E114)*J114</f>
        <v>65048</v>
      </c>
      <c r="L114" s="239" t="s">
        <v>53</v>
      </c>
      <c r="M114" s="239" t="s">
        <v>54</v>
      </c>
    </row>
    <row r="116" spans="1:15" ht="82.5" x14ac:dyDescent="0.35">
      <c r="A116" s="239" t="s">
        <v>50</v>
      </c>
      <c r="B116" s="239" t="s">
        <v>124</v>
      </c>
      <c r="C116" s="239" t="s">
        <v>52</v>
      </c>
      <c r="D116" s="239">
        <v>50</v>
      </c>
      <c r="E116" s="239">
        <v>42.9</v>
      </c>
      <c r="F116" s="239">
        <v>21704.7</v>
      </c>
      <c r="G116" s="239">
        <v>61</v>
      </c>
      <c r="H116" s="239">
        <v>1.5</v>
      </c>
      <c r="I116" s="244">
        <f t="shared" ref="I116:I138" si="7">(G116*E116)*H116</f>
        <v>3925.3500000000004</v>
      </c>
      <c r="J116" s="239">
        <v>0</v>
      </c>
      <c r="K116" s="244">
        <f t="shared" ref="K116:K138" si="8">(G116*E116)*J116</f>
        <v>0</v>
      </c>
      <c r="L116" s="239" t="s">
        <v>53</v>
      </c>
      <c r="M116" s="239" t="s">
        <v>54</v>
      </c>
    </row>
    <row r="117" spans="1:15" ht="55" x14ac:dyDescent="0.35">
      <c r="A117" s="239" t="s">
        <v>89</v>
      </c>
      <c r="B117" s="239" t="s">
        <v>124</v>
      </c>
      <c r="C117" s="239" t="s">
        <v>20</v>
      </c>
      <c r="D117" s="239">
        <v>100</v>
      </c>
      <c r="E117" s="239">
        <v>170.4</v>
      </c>
      <c r="F117" s="239">
        <v>119539.8</v>
      </c>
      <c r="G117" s="239">
        <v>470</v>
      </c>
      <c r="H117" s="239">
        <v>0.2</v>
      </c>
      <c r="I117" s="244">
        <f t="shared" si="7"/>
        <v>16017.6</v>
      </c>
      <c r="J117" s="239">
        <v>1.6</v>
      </c>
      <c r="K117" s="244">
        <f t="shared" si="8"/>
        <v>128140.8</v>
      </c>
      <c r="L117" s="239" t="s">
        <v>53</v>
      </c>
      <c r="M117" s="239" t="s">
        <v>54</v>
      </c>
      <c r="N117" s="49" t="s">
        <v>194</v>
      </c>
    </row>
    <row r="118" spans="1:15" ht="55" x14ac:dyDescent="0.35">
      <c r="A118" s="239" t="s">
        <v>79</v>
      </c>
      <c r="B118" s="239" t="s">
        <v>124</v>
      </c>
      <c r="C118" s="239" t="s">
        <v>15</v>
      </c>
      <c r="D118" s="239">
        <v>15</v>
      </c>
      <c r="E118" s="239">
        <v>25.1</v>
      </c>
      <c r="F118" s="239">
        <v>20562.2</v>
      </c>
      <c r="G118" s="239">
        <v>875</v>
      </c>
      <c r="H118" s="239">
        <v>0.28000000000000003</v>
      </c>
      <c r="I118" s="244">
        <f t="shared" si="7"/>
        <v>6149.5000000000009</v>
      </c>
      <c r="J118" s="239">
        <v>0</v>
      </c>
      <c r="K118" s="244">
        <f t="shared" si="8"/>
        <v>0</v>
      </c>
      <c r="L118" s="239" t="s">
        <v>53</v>
      </c>
      <c r="M118" s="239" t="s">
        <v>57</v>
      </c>
      <c r="N118" s="49">
        <f>I116+I119+I123+I136+I131</f>
        <v>15289.65</v>
      </c>
    </row>
    <row r="119" spans="1:15" ht="192.5" x14ac:dyDescent="0.35">
      <c r="A119" s="239" t="s">
        <v>50</v>
      </c>
      <c r="B119" s="239" t="s">
        <v>125</v>
      </c>
      <c r="C119" s="239" t="s">
        <v>52</v>
      </c>
      <c r="D119" s="239">
        <v>68</v>
      </c>
      <c r="E119" s="239">
        <v>26.1</v>
      </c>
      <c r="F119" s="239">
        <v>12924.1</v>
      </c>
      <c r="G119" s="239">
        <v>61</v>
      </c>
      <c r="H119" s="239">
        <v>1.5</v>
      </c>
      <c r="I119" s="244">
        <f t="shared" si="7"/>
        <v>2388.15</v>
      </c>
      <c r="J119" s="239">
        <v>0</v>
      </c>
      <c r="K119" s="244">
        <f t="shared" si="8"/>
        <v>0</v>
      </c>
      <c r="L119" s="239" t="s">
        <v>53</v>
      </c>
      <c r="M119" s="239" t="s">
        <v>54</v>
      </c>
      <c r="N119" s="49" t="s">
        <v>195</v>
      </c>
    </row>
    <row r="120" spans="1:15" ht="192.5" x14ac:dyDescent="0.35">
      <c r="A120" s="239" t="s">
        <v>89</v>
      </c>
      <c r="B120" s="239" t="s">
        <v>125</v>
      </c>
      <c r="C120" s="239" t="s">
        <v>20</v>
      </c>
      <c r="D120" s="239">
        <v>100</v>
      </c>
      <c r="E120" s="239">
        <v>36.9</v>
      </c>
      <c r="F120" s="239">
        <v>26264.6</v>
      </c>
      <c r="G120" s="239">
        <v>470</v>
      </c>
      <c r="H120" s="239">
        <v>0.2</v>
      </c>
      <c r="I120" s="244">
        <f t="shared" si="7"/>
        <v>3468.6000000000004</v>
      </c>
      <c r="J120" s="239">
        <v>1.6</v>
      </c>
      <c r="K120" s="244">
        <f t="shared" si="8"/>
        <v>27748.800000000003</v>
      </c>
      <c r="L120" s="239" t="s">
        <v>53</v>
      </c>
      <c r="M120" s="239" t="s">
        <v>54</v>
      </c>
      <c r="N120" s="49">
        <f>I117+I120+I125+I128+I132</f>
        <v>23838.400000000001</v>
      </c>
      <c r="O120" s="49">
        <f>K117+K120+K125+K128+K132</f>
        <v>190707.20000000001</v>
      </c>
    </row>
    <row r="121" spans="1:15" ht="192.5" x14ac:dyDescent="0.35">
      <c r="A121" s="239" t="s">
        <v>59</v>
      </c>
      <c r="B121" s="239" t="s">
        <v>125</v>
      </c>
      <c r="C121" s="239" t="s">
        <v>61</v>
      </c>
      <c r="D121" s="239">
        <v>20</v>
      </c>
      <c r="E121" s="239">
        <v>7.9</v>
      </c>
      <c r="F121" s="239">
        <v>9</v>
      </c>
      <c r="G121" s="239">
        <v>0</v>
      </c>
      <c r="H121" s="239">
        <v>0</v>
      </c>
      <c r="I121" s="244">
        <f t="shared" si="7"/>
        <v>0</v>
      </c>
      <c r="J121" s="239">
        <v>0</v>
      </c>
      <c r="K121" s="244">
        <f t="shared" si="8"/>
        <v>0</v>
      </c>
      <c r="L121" s="239" t="s">
        <v>53</v>
      </c>
      <c r="M121" s="239" t="s">
        <v>54</v>
      </c>
      <c r="N121" s="49" t="s">
        <v>198</v>
      </c>
    </row>
    <row r="122" spans="1:15" ht="192.5" x14ac:dyDescent="0.35">
      <c r="A122" s="239" t="s">
        <v>79</v>
      </c>
      <c r="B122" s="239" t="s">
        <v>125</v>
      </c>
      <c r="C122" s="239" t="s">
        <v>15</v>
      </c>
      <c r="D122" s="239">
        <v>15</v>
      </c>
      <c r="E122" s="239">
        <v>13.9</v>
      </c>
      <c r="F122" s="239">
        <v>13499.4</v>
      </c>
      <c r="G122" s="239">
        <v>875</v>
      </c>
      <c r="H122" s="239">
        <v>0.28000000000000003</v>
      </c>
      <c r="I122" s="244">
        <f t="shared" si="7"/>
        <v>3405.5000000000005</v>
      </c>
      <c r="J122" s="239">
        <v>0</v>
      </c>
      <c r="K122" s="244">
        <f t="shared" si="8"/>
        <v>0</v>
      </c>
      <c r="L122" s="239" t="s">
        <v>53</v>
      </c>
      <c r="M122" s="239" t="s">
        <v>57</v>
      </c>
      <c r="N122" s="49">
        <f>I118+I122+I124+I126+I127+I129+I130+I134+I135+I137+I138</f>
        <v>22687.000000000004</v>
      </c>
    </row>
    <row r="123" spans="1:15" ht="220" x14ac:dyDescent="0.35">
      <c r="A123" s="239" t="s">
        <v>50</v>
      </c>
      <c r="B123" s="239" t="s">
        <v>93</v>
      </c>
      <c r="C123" s="239" t="s">
        <v>52</v>
      </c>
      <c r="D123" s="239">
        <v>66</v>
      </c>
      <c r="E123" s="239">
        <v>19.399999999999999</v>
      </c>
      <c r="F123" s="239">
        <v>10134.799999999999</v>
      </c>
      <c r="G123" s="239">
        <v>61</v>
      </c>
      <c r="H123" s="239">
        <v>1.5</v>
      </c>
      <c r="I123" s="244">
        <f t="shared" si="7"/>
        <v>1775.1</v>
      </c>
      <c r="J123" s="239">
        <v>0</v>
      </c>
      <c r="K123" s="244">
        <f t="shared" si="8"/>
        <v>0</v>
      </c>
      <c r="L123" s="239" t="s">
        <v>53</v>
      </c>
      <c r="M123" s="239" t="s">
        <v>54</v>
      </c>
    </row>
    <row r="124" spans="1:15" ht="220" x14ac:dyDescent="0.35">
      <c r="A124" s="239" t="s">
        <v>79</v>
      </c>
      <c r="B124" s="239" t="s">
        <v>93</v>
      </c>
      <c r="C124" s="239" t="s">
        <v>15</v>
      </c>
      <c r="D124" s="239">
        <v>15</v>
      </c>
      <c r="E124" s="239">
        <v>7</v>
      </c>
      <c r="F124" s="239">
        <v>7980.6</v>
      </c>
      <c r="G124" s="239">
        <v>875</v>
      </c>
      <c r="H124" s="239">
        <v>0.28000000000000003</v>
      </c>
      <c r="I124" s="244">
        <f t="shared" si="7"/>
        <v>1715.0000000000002</v>
      </c>
      <c r="J124" s="239">
        <v>0</v>
      </c>
      <c r="K124" s="244">
        <f t="shared" si="8"/>
        <v>0</v>
      </c>
      <c r="L124" s="239" t="s">
        <v>53</v>
      </c>
      <c r="M124" s="239" t="s">
        <v>57</v>
      </c>
    </row>
    <row r="125" spans="1:15" ht="220" x14ac:dyDescent="0.35">
      <c r="A125" s="239" t="s">
        <v>89</v>
      </c>
      <c r="B125" s="239" t="s">
        <v>129</v>
      </c>
      <c r="C125" s="239" t="s">
        <v>20</v>
      </c>
      <c r="D125" s="239">
        <v>100</v>
      </c>
      <c r="E125" s="239">
        <v>28.4</v>
      </c>
      <c r="F125" s="239">
        <v>19456.2</v>
      </c>
      <c r="G125" s="239">
        <v>470</v>
      </c>
      <c r="H125" s="239">
        <v>0.2</v>
      </c>
      <c r="I125" s="244">
        <f t="shared" si="7"/>
        <v>2669.6000000000004</v>
      </c>
      <c r="J125" s="239">
        <v>1.6</v>
      </c>
      <c r="K125" s="244">
        <f t="shared" si="8"/>
        <v>21356.800000000003</v>
      </c>
      <c r="L125" s="239" t="s">
        <v>53</v>
      </c>
      <c r="M125" s="239" t="s">
        <v>57</v>
      </c>
    </row>
    <row r="126" spans="1:15" ht="220" x14ac:dyDescent="0.35">
      <c r="A126" s="239" t="s">
        <v>79</v>
      </c>
      <c r="B126" s="239" t="s">
        <v>129</v>
      </c>
      <c r="C126" s="239" t="s">
        <v>15</v>
      </c>
      <c r="D126" s="239">
        <v>15</v>
      </c>
      <c r="E126" s="239">
        <v>3.5</v>
      </c>
      <c r="F126" s="239">
        <v>3568</v>
      </c>
      <c r="G126" s="239">
        <v>875</v>
      </c>
      <c r="H126" s="239">
        <v>0.28000000000000003</v>
      </c>
      <c r="I126" s="244">
        <f t="shared" si="7"/>
        <v>857.50000000000011</v>
      </c>
      <c r="J126" s="239">
        <v>0</v>
      </c>
      <c r="K126" s="244">
        <f t="shared" si="8"/>
        <v>0</v>
      </c>
      <c r="L126" s="239" t="s">
        <v>53</v>
      </c>
      <c r="M126" s="239" t="s">
        <v>57</v>
      </c>
    </row>
    <row r="127" spans="1:15" ht="220" x14ac:dyDescent="0.35">
      <c r="A127" s="239" t="s">
        <v>79</v>
      </c>
      <c r="B127" s="239" t="s">
        <v>129</v>
      </c>
      <c r="C127" s="239" t="s">
        <v>15</v>
      </c>
      <c r="D127" s="239">
        <v>15</v>
      </c>
      <c r="E127" s="239">
        <v>3.5</v>
      </c>
      <c r="F127" s="239">
        <v>3154.2</v>
      </c>
      <c r="G127" s="239">
        <v>875</v>
      </c>
      <c r="H127" s="239">
        <v>0.28000000000000003</v>
      </c>
      <c r="I127" s="244">
        <f t="shared" si="7"/>
        <v>857.50000000000011</v>
      </c>
      <c r="J127" s="239">
        <v>0</v>
      </c>
      <c r="K127" s="244">
        <f t="shared" si="8"/>
        <v>0</v>
      </c>
      <c r="L127" s="239" t="s">
        <v>53</v>
      </c>
      <c r="M127" s="239" t="s">
        <v>54</v>
      </c>
    </row>
    <row r="128" spans="1:15" ht="82.5" x14ac:dyDescent="0.35">
      <c r="A128" s="239" t="s">
        <v>89</v>
      </c>
      <c r="B128" s="239" t="s">
        <v>128</v>
      </c>
      <c r="C128" s="239" t="s">
        <v>20</v>
      </c>
      <c r="D128" s="239">
        <v>100</v>
      </c>
      <c r="E128" s="239">
        <v>10.7</v>
      </c>
      <c r="F128" s="239">
        <v>7520.8</v>
      </c>
      <c r="G128" s="239">
        <v>470</v>
      </c>
      <c r="H128" s="239">
        <v>0.2</v>
      </c>
      <c r="I128" s="244">
        <f t="shared" si="7"/>
        <v>1005.8000000000001</v>
      </c>
      <c r="J128" s="239">
        <v>1.6</v>
      </c>
      <c r="K128" s="244">
        <f t="shared" si="8"/>
        <v>8046.4000000000005</v>
      </c>
      <c r="L128" s="239" t="s">
        <v>53</v>
      </c>
      <c r="M128" s="239" t="s">
        <v>54</v>
      </c>
    </row>
    <row r="129" spans="1:14" ht="82.5" x14ac:dyDescent="0.35">
      <c r="A129" s="239" t="s">
        <v>79</v>
      </c>
      <c r="B129" s="239" t="s">
        <v>128</v>
      </c>
      <c r="C129" s="239" t="s">
        <v>15</v>
      </c>
      <c r="D129" s="239">
        <v>15</v>
      </c>
      <c r="E129" s="239">
        <v>1.8</v>
      </c>
      <c r="F129" s="239">
        <v>1507.9</v>
      </c>
      <c r="G129" s="239">
        <v>875</v>
      </c>
      <c r="H129" s="239">
        <v>0.28000000000000003</v>
      </c>
      <c r="I129" s="244">
        <f t="shared" si="7"/>
        <v>441.00000000000006</v>
      </c>
      <c r="J129" s="239">
        <v>0</v>
      </c>
      <c r="K129" s="244">
        <f t="shared" si="8"/>
        <v>0</v>
      </c>
      <c r="L129" s="239" t="s">
        <v>53</v>
      </c>
      <c r="M129" s="239" t="s">
        <v>57</v>
      </c>
    </row>
    <row r="130" spans="1:14" ht="82.5" x14ac:dyDescent="0.35">
      <c r="A130" s="239" t="s">
        <v>79</v>
      </c>
      <c r="B130" s="239" t="s">
        <v>128</v>
      </c>
      <c r="C130" s="239" t="s">
        <v>15</v>
      </c>
      <c r="D130" s="239">
        <v>15</v>
      </c>
      <c r="E130" s="239">
        <v>1.8</v>
      </c>
      <c r="F130" s="239">
        <v>1378.6</v>
      </c>
      <c r="G130" s="239">
        <v>875</v>
      </c>
      <c r="H130" s="239">
        <v>0.28000000000000003</v>
      </c>
      <c r="I130" s="244">
        <f t="shared" si="7"/>
        <v>441.00000000000006</v>
      </c>
      <c r="J130" s="239">
        <v>0</v>
      </c>
      <c r="K130" s="244">
        <f t="shared" si="8"/>
        <v>0</v>
      </c>
      <c r="L130" s="239" t="s">
        <v>53</v>
      </c>
      <c r="M130" s="239" t="s">
        <v>54</v>
      </c>
    </row>
    <row r="131" spans="1:14" ht="192.5" x14ac:dyDescent="0.35">
      <c r="A131" s="239" t="s">
        <v>50</v>
      </c>
      <c r="B131" s="239" t="s">
        <v>126</v>
      </c>
      <c r="C131" s="239" t="s">
        <v>52</v>
      </c>
      <c r="D131" s="239">
        <v>98</v>
      </c>
      <c r="E131" s="239">
        <v>7.2</v>
      </c>
      <c r="F131" s="239">
        <v>3523.3</v>
      </c>
      <c r="G131" s="239">
        <v>61</v>
      </c>
      <c r="H131" s="239">
        <v>1.5</v>
      </c>
      <c r="I131" s="244">
        <f t="shared" si="7"/>
        <v>658.8</v>
      </c>
      <c r="J131" s="239">
        <v>0</v>
      </c>
      <c r="K131" s="244">
        <f t="shared" si="8"/>
        <v>0</v>
      </c>
      <c r="L131" s="239" t="s">
        <v>53</v>
      </c>
      <c r="M131" s="239" t="s">
        <v>57</v>
      </c>
    </row>
    <row r="132" spans="1:14" ht="192.5" x14ac:dyDescent="0.35">
      <c r="A132" s="239" t="s">
        <v>89</v>
      </c>
      <c r="B132" s="239" t="s">
        <v>126</v>
      </c>
      <c r="C132" s="239" t="s">
        <v>20</v>
      </c>
      <c r="D132" s="239">
        <v>100</v>
      </c>
      <c r="E132" s="239">
        <v>7.2</v>
      </c>
      <c r="F132" s="239">
        <v>5025.3</v>
      </c>
      <c r="G132" s="239">
        <v>470</v>
      </c>
      <c r="H132" s="239">
        <v>0.2</v>
      </c>
      <c r="I132" s="244">
        <f t="shared" si="7"/>
        <v>676.80000000000007</v>
      </c>
      <c r="J132" s="239">
        <v>1.6</v>
      </c>
      <c r="K132" s="244">
        <f t="shared" si="8"/>
        <v>5414.4000000000005</v>
      </c>
      <c r="L132" s="239" t="s">
        <v>53</v>
      </c>
      <c r="M132" s="239" t="s">
        <v>57</v>
      </c>
    </row>
    <row r="133" spans="1:14" ht="192.5" x14ac:dyDescent="0.35">
      <c r="A133" s="239" t="s">
        <v>59</v>
      </c>
      <c r="B133" s="239" t="s">
        <v>126</v>
      </c>
      <c r="C133" s="239" t="s">
        <v>61</v>
      </c>
      <c r="D133" s="239">
        <v>20</v>
      </c>
      <c r="E133" s="239">
        <v>1.4</v>
      </c>
      <c r="F133" s="239">
        <v>1.9</v>
      </c>
      <c r="G133" s="239">
        <v>0</v>
      </c>
      <c r="H133" s="239">
        <v>0</v>
      </c>
      <c r="I133" s="244">
        <f t="shared" si="7"/>
        <v>0</v>
      </c>
      <c r="J133" s="239">
        <v>0</v>
      </c>
      <c r="K133" s="244">
        <f t="shared" si="8"/>
        <v>0</v>
      </c>
      <c r="L133" s="239" t="s">
        <v>53</v>
      </c>
      <c r="M133" s="239" t="s">
        <v>57</v>
      </c>
    </row>
    <row r="134" spans="1:14" ht="192.5" x14ac:dyDescent="0.35">
      <c r="A134" s="239" t="s">
        <v>79</v>
      </c>
      <c r="B134" s="239" t="s">
        <v>126</v>
      </c>
      <c r="C134" s="239" t="s">
        <v>15</v>
      </c>
      <c r="D134" s="239">
        <v>15</v>
      </c>
      <c r="E134" s="239">
        <v>2</v>
      </c>
      <c r="F134" s="239">
        <v>1938.4</v>
      </c>
      <c r="G134" s="239">
        <v>875</v>
      </c>
      <c r="H134" s="239">
        <v>0.28000000000000003</v>
      </c>
      <c r="I134" s="244">
        <f t="shared" si="7"/>
        <v>490.00000000000006</v>
      </c>
      <c r="J134" s="239">
        <v>0</v>
      </c>
      <c r="K134" s="244">
        <f t="shared" si="8"/>
        <v>0</v>
      </c>
      <c r="L134" s="239" t="s">
        <v>53</v>
      </c>
      <c r="M134" s="239" t="s">
        <v>57</v>
      </c>
    </row>
    <row r="135" spans="1:14" ht="192.5" x14ac:dyDescent="0.35">
      <c r="A135" s="239" t="s">
        <v>79</v>
      </c>
      <c r="B135" s="239" t="s">
        <v>126</v>
      </c>
      <c r="C135" s="239" t="s">
        <v>15</v>
      </c>
      <c r="D135" s="239">
        <v>15</v>
      </c>
      <c r="E135" s="239">
        <v>1</v>
      </c>
      <c r="F135" s="239">
        <v>953.4</v>
      </c>
      <c r="G135" s="239">
        <v>875</v>
      </c>
      <c r="H135" s="239">
        <v>0.28000000000000003</v>
      </c>
      <c r="I135" s="244">
        <f t="shared" si="7"/>
        <v>245.00000000000003</v>
      </c>
      <c r="J135" s="239">
        <v>0</v>
      </c>
      <c r="K135" s="244">
        <f t="shared" si="8"/>
        <v>0</v>
      </c>
      <c r="L135" s="239" t="s">
        <v>53</v>
      </c>
      <c r="M135" s="239" t="s">
        <v>54</v>
      </c>
    </row>
    <row r="136" spans="1:14" ht="82.5" x14ac:dyDescent="0.35">
      <c r="A136" s="239" t="s">
        <v>50</v>
      </c>
      <c r="B136" s="239" t="s">
        <v>97</v>
      </c>
      <c r="C136" s="239" t="s">
        <v>52</v>
      </c>
      <c r="D136" s="239">
        <v>66</v>
      </c>
      <c r="E136" s="239">
        <v>71.5</v>
      </c>
      <c r="F136" s="239">
        <v>34905.199999999997</v>
      </c>
      <c r="G136" s="239">
        <v>61</v>
      </c>
      <c r="H136" s="239">
        <v>1.5</v>
      </c>
      <c r="I136" s="244">
        <f t="shared" si="7"/>
        <v>6542.25</v>
      </c>
      <c r="J136" s="239">
        <v>0</v>
      </c>
      <c r="K136" s="244">
        <f t="shared" si="8"/>
        <v>0</v>
      </c>
      <c r="L136" s="239" t="s">
        <v>53</v>
      </c>
      <c r="M136" s="239" t="s">
        <v>54</v>
      </c>
    </row>
    <row r="137" spans="1:14" ht="55" x14ac:dyDescent="0.35">
      <c r="A137" s="239" t="s">
        <v>79</v>
      </c>
      <c r="B137" s="239" t="s">
        <v>97</v>
      </c>
      <c r="C137" s="239" t="s">
        <v>15</v>
      </c>
      <c r="D137" s="239">
        <v>13</v>
      </c>
      <c r="E137" s="239">
        <v>16.5</v>
      </c>
      <c r="F137" s="239">
        <v>11797.5</v>
      </c>
      <c r="G137" s="239">
        <v>875</v>
      </c>
      <c r="H137" s="239">
        <v>0.28000000000000003</v>
      </c>
      <c r="I137" s="244">
        <f t="shared" si="7"/>
        <v>4042.5000000000005</v>
      </c>
      <c r="J137" s="239">
        <v>0</v>
      </c>
      <c r="K137" s="244">
        <f t="shared" si="8"/>
        <v>0</v>
      </c>
      <c r="L137" s="239" t="s">
        <v>53</v>
      </c>
      <c r="M137" s="239" t="s">
        <v>54</v>
      </c>
    </row>
    <row r="138" spans="1:14" ht="55" x14ac:dyDescent="0.35">
      <c r="A138" s="239" t="s">
        <v>79</v>
      </c>
      <c r="B138" s="239" t="s">
        <v>97</v>
      </c>
      <c r="C138" s="239" t="s">
        <v>15</v>
      </c>
      <c r="D138" s="239">
        <v>13</v>
      </c>
      <c r="E138" s="239">
        <v>16.5</v>
      </c>
      <c r="F138" s="239">
        <v>12953.5</v>
      </c>
      <c r="G138" s="239">
        <v>875</v>
      </c>
      <c r="H138" s="239">
        <v>0.28000000000000003</v>
      </c>
      <c r="I138" s="244">
        <f t="shared" si="7"/>
        <v>4042.5000000000005</v>
      </c>
      <c r="J138" s="239">
        <v>0</v>
      </c>
      <c r="K138" s="244">
        <f t="shared" si="8"/>
        <v>0</v>
      </c>
      <c r="L138" s="239" t="s">
        <v>53</v>
      </c>
      <c r="M138" s="239" t="s">
        <v>57</v>
      </c>
    </row>
    <row r="142" spans="1:14" ht="110" x14ac:dyDescent="0.35">
      <c r="A142" s="245" t="s">
        <v>58</v>
      </c>
      <c r="B142" s="245" t="s">
        <v>105</v>
      </c>
      <c r="C142" s="245" t="s">
        <v>32</v>
      </c>
      <c r="D142" s="245">
        <v>300</v>
      </c>
      <c r="E142" s="245">
        <v>16.600000000000001</v>
      </c>
      <c r="F142" s="245">
        <v>39910.199999999997</v>
      </c>
      <c r="G142" s="245">
        <v>2400</v>
      </c>
      <c r="H142" s="245">
        <v>0.19</v>
      </c>
      <c r="I142" s="246">
        <f>(G142*E142)*H142</f>
        <v>7569.6</v>
      </c>
      <c r="J142" s="245">
        <v>0</v>
      </c>
      <c r="K142" s="246">
        <f>(G142*E142)*J142</f>
        <v>0</v>
      </c>
      <c r="L142" s="245" t="s">
        <v>53</v>
      </c>
      <c r="M142" s="245" t="s">
        <v>57</v>
      </c>
      <c r="N142" s="49" t="s">
        <v>233</v>
      </c>
    </row>
    <row r="143" spans="1:14" ht="110" x14ac:dyDescent="0.35">
      <c r="A143" s="245" t="s">
        <v>58</v>
      </c>
      <c r="B143" s="245" t="s">
        <v>103</v>
      </c>
      <c r="C143" s="245" t="s">
        <v>32</v>
      </c>
      <c r="D143" s="245">
        <v>300</v>
      </c>
      <c r="E143" s="245">
        <v>15.6</v>
      </c>
      <c r="F143" s="245">
        <v>37538.300000000003</v>
      </c>
      <c r="G143" s="245">
        <v>2400</v>
      </c>
      <c r="H143" s="245">
        <v>0.19</v>
      </c>
      <c r="I143" s="246">
        <f>(G143*E143)*H143</f>
        <v>7113.6</v>
      </c>
      <c r="J143" s="245">
        <v>0</v>
      </c>
      <c r="K143" s="246">
        <f>(G143*E143)*J143</f>
        <v>0</v>
      </c>
      <c r="L143" s="245" t="s">
        <v>53</v>
      </c>
      <c r="M143" s="245" t="s">
        <v>54</v>
      </c>
      <c r="N143" s="49">
        <f>I142+I143+I145+I146</f>
        <v>24283.320000000003</v>
      </c>
    </row>
    <row r="144" spans="1:14" ht="110" x14ac:dyDescent="0.35">
      <c r="A144" s="245" t="s">
        <v>50</v>
      </c>
      <c r="B144" s="245" t="s">
        <v>88</v>
      </c>
      <c r="C144" s="245" t="s">
        <v>52</v>
      </c>
      <c r="D144" s="245">
        <v>140</v>
      </c>
      <c r="E144" s="245">
        <v>8.3000000000000007</v>
      </c>
      <c r="F144" s="245">
        <v>4163.8</v>
      </c>
      <c r="G144" s="245">
        <v>61</v>
      </c>
      <c r="H144" s="245">
        <v>1.5</v>
      </c>
      <c r="I144" s="246">
        <f>(G144*E144)*H144</f>
        <v>759.45</v>
      </c>
      <c r="J144" s="245">
        <v>0</v>
      </c>
      <c r="K144" s="246">
        <f>(G144*E144)*J144</f>
        <v>0</v>
      </c>
      <c r="L144" s="245" t="s">
        <v>53</v>
      </c>
      <c r="M144" s="245" t="s">
        <v>54</v>
      </c>
      <c r="N144" s="49" t="s">
        <v>194</v>
      </c>
    </row>
    <row r="145" spans="1:14" ht="110" x14ac:dyDescent="0.35">
      <c r="A145" s="245" t="s">
        <v>55</v>
      </c>
      <c r="B145" s="245" t="s">
        <v>88</v>
      </c>
      <c r="C145" s="245" t="s">
        <v>56</v>
      </c>
      <c r="D145" s="245">
        <v>100</v>
      </c>
      <c r="E145" s="245">
        <v>6</v>
      </c>
      <c r="F145" s="245">
        <v>14181.2</v>
      </c>
      <c r="G145" s="245">
        <v>2363</v>
      </c>
      <c r="H145" s="245">
        <v>0.14000000000000001</v>
      </c>
      <c r="I145" s="246">
        <f>(G145*E145)*H145</f>
        <v>1984.9200000000003</v>
      </c>
      <c r="J145" s="245">
        <v>0</v>
      </c>
      <c r="K145" s="246">
        <f>(G145*E145)*J145</f>
        <v>0</v>
      </c>
      <c r="L145" s="245" t="s">
        <v>53</v>
      </c>
      <c r="M145" s="245" t="s">
        <v>57</v>
      </c>
      <c r="N145" s="49">
        <f>I144</f>
        <v>759.45</v>
      </c>
    </row>
    <row r="146" spans="1:14" ht="110" x14ac:dyDescent="0.35">
      <c r="A146" s="245" t="s">
        <v>58</v>
      </c>
      <c r="B146" s="245" t="s">
        <v>88</v>
      </c>
      <c r="C146" s="245" t="s">
        <v>32</v>
      </c>
      <c r="D146" s="245">
        <v>300</v>
      </c>
      <c r="E146" s="245">
        <v>16.7</v>
      </c>
      <c r="F146" s="245">
        <v>40079.599999999999</v>
      </c>
      <c r="G146" s="245">
        <v>2400</v>
      </c>
      <c r="H146" s="245">
        <v>0.19</v>
      </c>
      <c r="I146" s="246">
        <f>(G146*E146)*H146</f>
        <v>7615.2</v>
      </c>
      <c r="J146" s="245">
        <v>0</v>
      </c>
      <c r="K146" s="246">
        <f>(G146*E146)*J146</f>
        <v>0</v>
      </c>
      <c r="L146" s="245" t="s">
        <v>53</v>
      </c>
      <c r="M146" s="245" t="s">
        <v>54</v>
      </c>
    </row>
    <row r="151" spans="1:14" ht="110.5" thickBot="1" x14ac:dyDescent="0.4">
      <c r="A151" s="245" t="s">
        <v>95</v>
      </c>
      <c r="B151" s="245" t="s">
        <v>106</v>
      </c>
      <c r="C151" s="245" t="s">
        <v>30</v>
      </c>
      <c r="D151" s="245">
        <v>440</v>
      </c>
      <c r="E151" s="245">
        <v>31.6</v>
      </c>
      <c r="F151" s="245">
        <v>75898.3</v>
      </c>
      <c r="G151" s="245">
        <v>2375</v>
      </c>
      <c r="H151" s="245">
        <v>0.15</v>
      </c>
      <c r="I151" s="246">
        <f>(G151*E151)*H151</f>
        <v>11257.5</v>
      </c>
      <c r="J151" s="245">
        <v>0</v>
      </c>
      <c r="K151" s="246">
        <f>(G151*E151)*J151</f>
        <v>0</v>
      </c>
      <c r="L151" s="245" t="s">
        <v>53</v>
      </c>
      <c r="M151" s="245" t="s">
        <v>54</v>
      </c>
      <c r="N151" s="49" t="s">
        <v>254</v>
      </c>
    </row>
    <row r="152" spans="1:14" ht="110" x14ac:dyDescent="0.35">
      <c r="A152" s="245" t="s">
        <v>95</v>
      </c>
      <c r="B152" s="245" t="s">
        <v>104</v>
      </c>
      <c r="C152" s="245" t="s">
        <v>30</v>
      </c>
      <c r="D152" s="245">
        <v>200</v>
      </c>
      <c r="E152" s="245">
        <v>16.3</v>
      </c>
      <c r="F152" s="245">
        <v>38202.800000000003</v>
      </c>
      <c r="G152" s="245">
        <v>2375</v>
      </c>
      <c r="H152" s="245">
        <v>0.15</v>
      </c>
      <c r="I152" s="246">
        <f>(G152*E152)*H152</f>
        <v>5806.875</v>
      </c>
      <c r="J152" s="245">
        <v>0</v>
      </c>
      <c r="K152" s="246">
        <f>(G152*E152)*J152</f>
        <v>0</v>
      </c>
      <c r="L152" s="245" t="s">
        <v>53</v>
      </c>
      <c r="M152" s="247" t="s">
        <v>54</v>
      </c>
      <c r="N152" s="248" t="s">
        <v>233</v>
      </c>
    </row>
    <row r="153" spans="1:14" ht="110.5" thickBot="1" x14ac:dyDescent="0.4">
      <c r="A153" s="245" t="s">
        <v>95</v>
      </c>
      <c r="B153" s="245" t="s">
        <v>96</v>
      </c>
      <c r="C153" s="245" t="s">
        <v>30</v>
      </c>
      <c r="D153" s="245">
        <v>300</v>
      </c>
      <c r="E153" s="245">
        <v>3.8</v>
      </c>
      <c r="F153" s="245">
        <v>9014</v>
      </c>
      <c r="G153" s="245">
        <v>2375</v>
      </c>
      <c r="H153" s="245">
        <v>0.15</v>
      </c>
      <c r="I153" s="246">
        <f>(G153*E153)*H153</f>
        <v>1353.75</v>
      </c>
      <c r="J153" s="245">
        <v>0</v>
      </c>
      <c r="K153" s="246">
        <f>(G153*E153)*J153</f>
        <v>0</v>
      </c>
      <c r="L153" s="245" t="s">
        <v>53</v>
      </c>
      <c r="M153" s="247" t="s">
        <v>54</v>
      </c>
      <c r="N153" s="249">
        <f>I151+I152+I153+I154+I155</f>
        <v>35746.125</v>
      </c>
    </row>
    <row r="154" spans="1:14" ht="110" x14ac:dyDescent="0.35">
      <c r="A154" s="245" t="s">
        <v>58</v>
      </c>
      <c r="B154" s="245" t="s">
        <v>166</v>
      </c>
      <c r="C154" s="245" t="s">
        <v>32</v>
      </c>
      <c r="D154" s="245">
        <v>540</v>
      </c>
      <c r="E154" s="245">
        <v>17.600000000000001</v>
      </c>
      <c r="F154" s="245">
        <v>42896.4</v>
      </c>
      <c r="G154" s="245">
        <v>2400</v>
      </c>
      <c r="H154" s="245">
        <v>0.19</v>
      </c>
      <c r="I154" s="246">
        <f>(G154*E154)*H154</f>
        <v>8025.6</v>
      </c>
      <c r="J154" s="245">
        <v>0</v>
      </c>
      <c r="K154" s="246">
        <f>(G154*E154)*J154</f>
        <v>0</v>
      </c>
      <c r="L154" s="245" t="s">
        <v>53</v>
      </c>
      <c r="M154" s="245" t="s">
        <v>54</v>
      </c>
    </row>
    <row r="155" spans="1:14" ht="110" x14ac:dyDescent="0.35">
      <c r="A155" s="245" t="s">
        <v>58</v>
      </c>
      <c r="B155" s="245" t="s">
        <v>166</v>
      </c>
      <c r="C155" s="245" t="s">
        <v>32</v>
      </c>
      <c r="D155" s="245">
        <v>740</v>
      </c>
      <c r="E155" s="245">
        <v>20.399999999999999</v>
      </c>
      <c r="F155" s="245">
        <v>49174.7</v>
      </c>
      <c r="G155" s="245">
        <v>2400</v>
      </c>
      <c r="H155" s="245">
        <v>0.19</v>
      </c>
      <c r="I155" s="246">
        <f>(G155*E155)*H155</f>
        <v>9302.4</v>
      </c>
      <c r="J155" s="245">
        <v>0</v>
      </c>
      <c r="K155" s="246">
        <f>(G155*E155)*J155</f>
        <v>0</v>
      </c>
      <c r="L155" s="245" t="s">
        <v>53</v>
      </c>
      <c r="M155" s="245" t="s">
        <v>54</v>
      </c>
    </row>
    <row r="157" spans="1:14" ht="15" thickBot="1" x14ac:dyDescent="0.4"/>
    <row r="158" spans="1:14" ht="110" x14ac:dyDescent="0.35">
      <c r="A158" s="245" t="s">
        <v>58</v>
      </c>
      <c r="B158" s="245" t="s">
        <v>108</v>
      </c>
      <c r="C158" s="245" t="s">
        <v>32</v>
      </c>
      <c r="D158" s="245">
        <v>200</v>
      </c>
      <c r="E158" s="245">
        <v>64.400000000000006</v>
      </c>
      <c r="F158" s="245">
        <v>154163.6</v>
      </c>
      <c r="G158" s="245">
        <v>2400</v>
      </c>
      <c r="H158" s="245">
        <v>0.19</v>
      </c>
      <c r="I158" s="246">
        <f t="shared" ref="I158:I159" si="9">(G158*E158)*H158</f>
        <v>29366.400000000001</v>
      </c>
      <c r="J158" s="245">
        <v>0</v>
      </c>
      <c r="K158" s="246">
        <f t="shared" ref="K158:K163" si="10">(G158*E158)*J158</f>
        <v>0</v>
      </c>
      <c r="L158" s="245" t="s">
        <v>53</v>
      </c>
      <c r="M158" s="247" t="s">
        <v>57</v>
      </c>
      <c r="N158" s="248" t="s">
        <v>233</v>
      </c>
    </row>
    <row r="159" spans="1:14" ht="110.5" thickBot="1" x14ac:dyDescent="0.4">
      <c r="A159" s="245" t="s">
        <v>98</v>
      </c>
      <c r="B159" s="245" t="s">
        <v>99</v>
      </c>
      <c r="C159" s="245" t="s">
        <v>100</v>
      </c>
      <c r="D159" s="245">
        <v>125</v>
      </c>
      <c r="E159" s="245">
        <v>11.9</v>
      </c>
      <c r="F159" s="245">
        <v>16673.3</v>
      </c>
      <c r="G159" s="245">
        <v>644</v>
      </c>
      <c r="H159" s="245">
        <v>0.26</v>
      </c>
      <c r="I159" s="246">
        <f t="shared" si="9"/>
        <v>1992.5360000000001</v>
      </c>
      <c r="J159" s="245">
        <v>0</v>
      </c>
      <c r="K159" s="246">
        <f t="shared" si="10"/>
        <v>0</v>
      </c>
      <c r="L159" s="245" t="s">
        <v>53</v>
      </c>
      <c r="M159" s="247" t="s">
        <v>57</v>
      </c>
      <c r="N159" s="249">
        <f>I158+I159+I161+I162+I163</f>
        <v>81132.641000000003</v>
      </c>
    </row>
    <row r="160" spans="1:14" ht="82.5" x14ac:dyDescent="0.35">
      <c r="A160" s="245" t="s">
        <v>72</v>
      </c>
      <c r="B160" s="245" t="s">
        <v>77</v>
      </c>
      <c r="C160" s="245" t="s">
        <v>74</v>
      </c>
      <c r="D160" s="245">
        <v>140</v>
      </c>
      <c r="E160" s="245">
        <v>37.6</v>
      </c>
      <c r="F160" s="245">
        <v>1051.9000000000001</v>
      </c>
      <c r="G160" s="245">
        <v>16</v>
      </c>
      <c r="H160" s="245">
        <v>3.5</v>
      </c>
      <c r="I160" s="246">
        <f>(G160*E160)*H160</f>
        <v>2105.6</v>
      </c>
      <c r="J160" s="245">
        <v>0</v>
      </c>
      <c r="K160" s="246">
        <f t="shared" si="10"/>
        <v>0</v>
      </c>
      <c r="L160" s="245" t="s">
        <v>53</v>
      </c>
      <c r="M160" s="245" t="s">
        <v>54</v>
      </c>
      <c r="N160" s="49" t="s">
        <v>255</v>
      </c>
    </row>
    <row r="161" spans="1:14" ht="110" x14ac:dyDescent="0.35">
      <c r="A161" s="245" t="s">
        <v>95</v>
      </c>
      <c r="B161" s="245" t="s">
        <v>77</v>
      </c>
      <c r="C161" s="245" t="s">
        <v>30</v>
      </c>
      <c r="D161" s="245">
        <v>100</v>
      </c>
      <c r="E161" s="245">
        <v>27.1</v>
      </c>
      <c r="F161" s="245">
        <v>65022.3</v>
      </c>
      <c r="G161" s="245">
        <v>2375</v>
      </c>
      <c r="H161" s="245">
        <v>0.15</v>
      </c>
      <c r="I161" s="246">
        <f t="shared" ref="I161:I163" si="11">(G161*E161)*H161</f>
        <v>9654.375</v>
      </c>
      <c r="J161" s="245">
        <v>0</v>
      </c>
      <c r="K161" s="246">
        <f t="shared" si="10"/>
        <v>0</v>
      </c>
      <c r="L161" s="245" t="s">
        <v>53</v>
      </c>
      <c r="M161" s="245" t="s">
        <v>54</v>
      </c>
      <c r="N161" s="49">
        <f>I160</f>
        <v>2105.6</v>
      </c>
    </row>
    <row r="162" spans="1:14" ht="110" x14ac:dyDescent="0.35">
      <c r="A162" s="245" t="s">
        <v>95</v>
      </c>
      <c r="B162" s="245" t="s">
        <v>77</v>
      </c>
      <c r="C162" s="245" t="s">
        <v>30</v>
      </c>
      <c r="D162" s="245">
        <v>200</v>
      </c>
      <c r="E162" s="245">
        <v>52.8</v>
      </c>
      <c r="F162" s="245">
        <v>126664</v>
      </c>
      <c r="G162" s="245">
        <v>2375</v>
      </c>
      <c r="H162" s="245">
        <v>0.15</v>
      </c>
      <c r="I162" s="246">
        <f t="shared" si="11"/>
        <v>18810</v>
      </c>
      <c r="J162" s="245">
        <v>0</v>
      </c>
      <c r="K162" s="246">
        <f t="shared" si="10"/>
        <v>0</v>
      </c>
      <c r="L162" s="245" t="s">
        <v>53</v>
      </c>
      <c r="M162" s="245" t="s">
        <v>54</v>
      </c>
    </row>
    <row r="163" spans="1:14" ht="110" x14ac:dyDescent="0.35">
      <c r="A163" s="245" t="s">
        <v>95</v>
      </c>
      <c r="B163" s="245" t="s">
        <v>107</v>
      </c>
      <c r="C163" s="245" t="s">
        <v>31</v>
      </c>
      <c r="D163" s="245">
        <v>270</v>
      </c>
      <c r="E163" s="245">
        <v>88.9</v>
      </c>
      <c r="F163" s="245">
        <v>115804.8</v>
      </c>
      <c r="G163" s="245">
        <v>1410</v>
      </c>
      <c r="H163" s="245">
        <v>0.17</v>
      </c>
      <c r="I163" s="246">
        <f t="shared" si="11"/>
        <v>21309.330000000005</v>
      </c>
      <c r="J163" s="245">
        <v>0</v>
      </c>
      <c r="K163" s="246">
        <f t="shared" si="10"/>
        <v>0</v>
      </c>
      <c r="L163" s="245" t="s">
        <v>53</v>
      </c>
      <c r="M163" s="245" t="s">
        <v>54</v>
      </c>
    </row>
    <row r="164" spans="1:14" ht="110" x14ac:dyDescent="0.35">
      <c r="A164" s="239" t="s">
        <v>36</v>
      </c>
      <c r="B164" s="239" t="s">
        <v>37</v>
      </c>
      <c r="C164" s="239" t="s">
        <v>38</v>
      </c>
      <c r="D164" s="239" t="s">
        <v>39</v>
      </c>
      <c r="E164" s="239" t="s">
        <v>40</v>
      </c>
      <c r="F164" s="239" t="s">
        <v>41</v>
      </c>
      <c r="G164" s="239" t="s">
        <v>42</v>
      </c>
      <c r="H164" s="239" t="s">
        <v>43</v>
      </c>
      <c r="I164" s="238"/>
      <c r="J164" s="239" t="s">
        <v>45</v>
      </c>
      <c r="K164" s="238"/>
      <c r="L164" s="239" t="s">
        <v>46</v>
      </c>
      <c r="M164" s="239" t="s">
        <v>47</v>
      </c>
    </row>
    <row r="166" spans="1:14" ht="82.5" x14ac:dyDescent="0.35">
      <c r="A166" s="245" t="s">
        <v>72</v>
      </c>
      <c r="B166" s="245" t="s">
        <v>84</v>
      </c>
      <c r="C166" s="245" t="s">
        <v>74</v>
      </c>
      <c r="D166" s="245">
        <v>300</v>
      </c>
      <c r="E166" s="245">
        <v>104.5</v>
      </c>
      <c r="F166" s="245">
        <v>2917.9</v>
      </c>
      <c r="G166" s="245">
        <v>16</v>
      </c>
      <c r="H166" s="245">
        <v>3.5</v>
      </c>
      <c r="I166" s="246">
        <f>(G166*E166)*H166</f>
        <v>5852</v>
      </c>
      <c r="J166" s="245">
        <v>0</v>
      </c>
      <c r="K166" s="246">
        <f>(G166*E166)*J166</f>
        <v>0</v>
      </c>
      <c r="L166" s="245" t="s">
        <v>53</v>
      </c>
      <c r="M166" s="245" t="s">
        <v>54</v>
      </c>
      <c r="N166" s="49" t="s">
        <v>233</v>
      </c>
    </row>
    <row r="167" spans="1:14" ht="82.5" x14ac:dyDescent="0.35">
      <c r="A167" s="245" t="s">
        <v>55</v>
      </c>
      <c r="B167" s="245" t="s">
        <v>84</v>
      </c>
      <c r="C167" s="245" t="s">
        <v>56</v>
      </c>
      <c r="D167" s="245">
        <v>100</v>
      </c>
      <c r="E167" s="245">
        <v>34.700000000000003</v>
      </c>
      <c r="F167" s="245">
        <v>81845.100000000006</v>
      </c>
      <c r="G167" s="245">
        <v>2363</v>
      </c>
      <c r="H167" s="245">
        <v>0.14000000000000001</v>
      </c>
      <c r="I167" s="246">
        <f>(G167*E167)*H167</f>
        <v>11479.454000000002</v>
      </c>
      <c r="J167" s="245">
        <v>0</v>
      </c>
      <c r="K167" s="246">
        <f>(G167*E167)*J167</f>
        <v>0</v>
      </c>
      <c r="L167" s="245" t="s">
        <v>53</v>
      </c>
      <c r="M167" s="245" t="s">
        <v>57</v>
      </c>
      <c r="N167" s="49">
        <f>I167+I169</f>
        <v>14225.260000000002</v>
      </c>
    </row>
    <row r="168" spans="1:14" ht="82.5" x14ac:dyDescent="0.35">
      <c r="A168" s="245" t="s">
        <v>72</v>
      </c>
      <c r="B168" s="245" t="s">
        <v>73</v>
      </c>
      <c r="C168" s="245" t="s">
        <v>74</v>
      </c>
      <c r="D168" s="245">
        <v>250</v>
      </c>
      <c r="E168" s="245">
        <v>13.9</v>
      </c>
      <c r="F168" s="245">
        <v>388.1</v>
      </c>
      <c r="G168" s="245">
        <v>16</v>
      </c>
      <c r="H168" s="245">
        <v>3.5</v>
      </c>
      <c r="I168" s="246">
        <f>(G168*E168)*H168</f>
        <v>778.4</v>
      </c>
      <c r="J168" s="245">
        <v>0</v>
      </c>
      <c r="K168" s="246">
        <f>(G168*E168)*J168</f>
        <v>0</v>
      </c>
      <c r="L168" s="245" t="s">
        <v>53</v>
      </c>
      <c r="M168" s="245" t="s">
        <v>54</v>
      </c>
      <c r="N168" s="49" t="s">
        <v>194</v>
      </c>
    </row>
    <row r="169" spans="1:14" ht="82.5" x14ac:dyDescent="0.35">
      <c r="A169" s="245" t="s">
        <v>55</v>
      </c>
      <c r="B169" s="245" t="s">
        <v>73</v>
      </c>
      <c r="C169" s="245" t="s">
        <v>56</v>
      </c>
      <c r="D169" s="245">
        <v>150</v>
      </c>
      <c r="E169" s="245">
        <v>8.3000000000000007</v>
      </c>
      <c r="F169" s="245">
        <v>19539.400000000001</v>
      </c>
      <c r="G169" s="245">
        <v>2363</v>
      </c>
      <c r="H169" s="245">
        <v>0.14000000000000001</v>
      </c>
      <c r="I169" s="246">
        <f>(G169*E169)*H169</f>
        <v>2745.8060000000005</v>
      </c>
      <c r="J169" s="245">
        <v>0</v>
      </c>
      <c r="K169" s="246">
        <f>(G169*E169)*J169</f>
        <v>0</v>
      </c>
      <c r="L169" s="245" t="s">
        <v>53</v>
      </c>
      <c r="M169" s="245" t="s">
        <v>57</v>
      </c>
      <c r="N169" s="49">
        <f>I166+I168</f>
        <v>6630.4</v>
      </c>
    </row>
  </sheetData>
  <sheetProtection algorithmName="SHA-512" hashValue="6wyylQxeS3uBm66nMUz5iP2BIW7yigXXcI207PRMuUcpOrBLZomjyOPllcKWlZCjAGiLJWb7Kx3oLx9wvSfW9Q==" saltValue="doI/pQfvMWFAX5UgKPjj4Q==" spinCount="100000" sheet="1" objects="1" scenarios="1"/>
  <mergeCells count="1">
    <mergeCell ref="A3:K3"/>
  </mergeCells>
  <pageMargins left="0.7" right="0.7" top="0.75" bottom="0.75" header="0.3" footer="0.3"/>
  <pageSetup paperSize="9" orientation="portrait" verticalDpi="0" r:id="rId1"/>
  <tableParts count="1">
    <tablePart r:id="rId2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9CB48A-12A3-46F2-B311-70E4FE2963D4}">
  <sheetPr codeName="Taul6"/>
  <dimension ref="A1:P104"/>
  <sheetViews>
    <sheetView topLeftCell="A109" zoomScale="50" zoomScaleNormal="50" workbookViewId="0">
      <selection sqref="A1:XFD1048576"/>
    </sheetView>
  </sheetViews>
  <sheetFormatPr defaultRowHeight="14.5" x14ac:dyDescent="0.35"/>
  <cols>
    <col min="1" max="1" width="17.26953125" style="49" customWidth="1"/>
    <col min="2" max="2" width="21.1796875" style="49" customWidth="1"/>
    <col min="3" max="3" width="26.54296875" style="49" customWidth="1"/>
    <col min="4" max="4" width="27.453125" style="49" customWidth="1"/>
    <col min="5" max="5" width="20.1796875" style="49" customWidth="1"/>
    <col min="6" max="7" width="29" style="49" customWidth="1"/>
    <col min="8" max="8" width="19.453125" style="49" customWidth="1"/>
    <col min="9" max="9" width="22.1796875" style="49" customWidth="1"/>
    <col min="10" max="10" width="19.1796875" style="49" customWidth="1"/>
    <col min="11" max="11" width="18" style="49" customWidth="1"/>
    <col min="12" max="13" width="19.1796875" style="49" customWidth="1"/>
    <col min="14" max="16384" width="8.7265625" style="49"/>
  </cols>
  <sheetData>
    <row r="1" spans="1:16" ht="16.5" x14ac:dyDescent="0.45">
      <c r="A1" s="201" t="s">
        <v>347</v>
      </c>
      <c r="B1" s="201"/>
      <c r="C1" s="201"/>
      <c r="D1" s="201"/>
      <c r="E1" s="201"/>
      <c r="F1" s="201"/>
      <c r="G1" s="201"/>
      <c r="H1" s="201"/>
      <c r="I1" s="201"/>
      <c r="J1" s="201"/>
      <c r="K1" s="201"/>
    </row>
    <row r="2" spans="1:16" ht="16.5" x14ac:dyDescent="0.45">
      <c r="A2" s="201"/>
      <c r="B2" s="201"/>
      <c r="C2" s="201"/>
      <c r="D2" s="201"/>
      <c r="E2" s="201"/>
      <c r="F2" s="201"/>
      <c r="G2" s="201"/>
      <c r="H2" s="201"/>
      <c r="I2" s="201"/>
      <c r="J2" s="201"/>
      <c r="K2" s="201"/>
    </row>
    <row r="3" spans="1:16" ht="27.5" x14ac:dyDescent="0.35">
      <c r="A3" s="267" t="s">
        <v>268</v>
      </c>
      <c r="B3" s="267"/>
      <c r="C3" s="267"/>
      <c r="D3" s="267"/>
      <c r="E3" s="267"/>
      <c r="F3" s="267"/>
      <c r="G3" s="267"/>
      <c r="H3" s="267"/>
      <c r="I3" s="267"/>
      <c r="J3" s="267"/>
      <c r="K3" s="267"/>
      <c r="L3" s="238"/>
      <c r="M3" s="238"/>
      <c r="N3" s="238"/>
      <c r="O3" s="238"/>
      <c r="P3" s="238"/>
    </row>
    <row r="4" spans="1:16" ht="110" x14ac:dyDescent="0.35">
      <c r="A4" s="239" t="s">
        <v>36</v>
      </c>
      <c r="B4" s="239" t="s">
        <v>37</v>
      </c>
      <c r="C4" s="239" t="s">
        <v>38</v>
      </c>
      <c r="D4" s="239" t="s">
        <v>39</v>
      </c>
      <c r="E4" s="239" t="s">
        <v>40</v>
      </c>
      <c r="F4" s="239" t="s">
        <v>41</v>
      </c>
      <c r="G4" s="239" t="s">
        <v>42</v>
      </c>
      <c r="H4" s="239" t="s">
        <v>43</v>
      </c>
      <c r="I4" s="240"/>
      <c r="J4" s="239" t="s">
        <v>45</v>
      </c>
      <c r="K4" s="240"/>
      <c r="L4" s="239" t="s">
        <v>152</v>
      </c>
      <c r="M4" s="239" t="s">
        <v>47</v>
      </c>
      <c r="N4" s="238"/>
      <c r="O4" s="238"/>
      <c r="P4" s="238"/>
    </row>
    <row r="5" spans="1:16" ht="55" x14ac:dyDescent="0.35">
      <c r="A5" s="241" t="s">
        <v>36</v>
      </c>
      <c r="B5" s="239" t="s">
        <v>37</v>
      </c>
      <c r="C5" s="239" t="s">
        <v>38</v>
      </c>
      <c r="D5" s="239" t="s">
        <v>265</v>
      </c>
      <c r="E5" s="239" t="s">
        <v>264</v>
      </c>
      <c r="F5" s="239" t="s">
        <v>113</v>
      </c>
      <c r="G5" s="239" t="s">
        <v>114</v>
      </c>
      <c r="H5" s="239" t="s">
        <v>115</v>
      </c>
      <c r="I5" s="238" t="s">
        <v>44</v>
      </c>
      <c r="J5" s="239" t="s">
        <v>116</v>
      </c>
      <c r="K5" s="238" t="s">
        <v>117</v>
      </c>
      <c r="L5" s="239" t="s">
        <v>152</v>
      </c>
      <c r="M5" s="242" t="s">
        <v>263</v>
      </c>
      <c r="N5" s="238"/>
      <c r="O5" s="238"/>
      <c r="P5" s="238"/>
    </row>
    <row r="6" spans="1:16" ht="82.5" x14ac:dyDescent="0.35">
      <c r="A6" s="241" t="s">
        <v>89</v>
      </c>
      <c r="B6" s="239" t="s">
        <v>92</v>
      </c>
      <c r="C6" s="239" t="s">
        <v>20</v>
      </c>
      <c r="D6" s="239">
        <v>80</v>
      </c>
      <c r="E6" s="239">
        <v>34.6</v>
      </c>
      <c r="F6" s="239">
        <v>24226.7</v>
      </c>
      <c r="G6" s="239">
        <v>470</v>
      </c>
      <c r="H6" s="239">
        <v>0.2</v>
      </c>
      <c r="I6" s="238">
        <f t="shared" ref="I6:I37" si="0">(G6*E6)*H6</f>
        <v>3252.4</v>
      </c>
      <c r="J6" s="239">
        <v>1.6</v>
      </c>
      <c r="K6" s="238">
        <f t="shared" ref="K6:K37" si="1">(G6*E6)*J6</f>
        <v>26019.200000000001</v>
      </c>
      <c r="L6" s="239" t="s">
        <v>53</v>
      </c>
      <c r="M6" s="242" t="s">
        <v>54</v>
      </c>
      <c r="N6" s="238"/>
      <c r="O6" s="238"/>
      <c r="P6" s="238"/>
    </row>
    <row r="7" spans="1:16" ht="82.5" x14ac:dyDescent="0.35">
      <c r="A7" s="241" t="s">
        <v>75</v>
      </c>
      <c r="B7" s="239" t="s">
        <v>92</v>
      </c>
      <c r="C7" s="239" t="s">
        <v>76</v>
      </c>
      <c r="D7" s="239">
        <v>450</v>
      </c>
      <c r="E7" s="239">
        <v>194.7</v>
      </c>
      <c r="F7" s="239">
        <v>7787.1</v>
      </c>
      <c r="G7" s="239">
        <v>33</v>
      </c>
      <c r="H7" s="239">
        <v>1.5</v>
      </c>
      <c r="I7" s="238">
        <f t="shared" si="0"/>
        <v>9637.65</v>
      </c>
      <c r="J7" s="239">
        <v>0</v>
      </c>
      <c r="K7" s="238">
        <f t="shared" si="1"/>
        <v>0</v>
      </c>
      <c r="L7" s="239" t="s">
        <v>53</v>
      </c>
      <c r="M7" s="242" t="s">
        <v>57</v>
      </c>
      <c r="N7" s="238"/>
      <c r="O7" s="238"/>
      <c r="P7" s="238"/>
    </row>
    <row r="8" spans="1:16" ht="110" x14ac:dyDescent="0.35">
      <c r="A8" s="241" t="s">
        <v>98</v>
      </c>
      <c r="B8" s="239" t="s">
        <v>99</v>
      </c>
      <c r="C8" s="239" t="s">
        <v>100</v>
      </c>
      <c r="D8" s="239">
        <v>125</v>
      </c>
      <c r="E8" s="239">
        <v>11.4</v>
      </c>
      <c r="F8" s="239">
        <v>16007.9</v>
      </c>
      <c r="G8" s="239">
        <v>644</v>
      </c>
      <c r="H8" s="239">
        <v>0.26</v>
      </c>
      <c r="I8" s="238">
        <f t="shared" si="0"/>
        <v>1908.8160000000003</v>
      </c>
      <c r="J8" s="239">
        <v>0</v>
      </c>
      <c r="K8" s="238">
        <f t="shared" si="1"/>
        <v>0</v>
      </c>
      <c r="L8" s="239" t="s">
        <v>53</v>
      </c>
      <c r="M8" s="242" t="s">
        <v>57</v>
      </c>
      <c r="N8" s="238"/>
      <c r="O8" s="238"/>
      <c r="P8" s="238"/>
    </row>
    <row r="9" spans="1:16" ht="110" x14ac:dyDescent="0.35">
      <c r="A9" s="241" t="s">
        <v>58</v>
      </c>
      <c r="B9" s="239" t="s">
        <v>108</v>
      </c>
      <c r="C9" s="239" t="s">
        <v>32</v>
      </c>
      <c r="D9" s="239">
        <v>200</v>
      </c>
      <c r="E9" s="239">
        <v>64.2</v>
      </c>
      <c r="F9" s="239">
        <v>153606.1</v>
      </c>
      <c r="G9" s="239">
        <v>2400</v>
      </c>
      <c r="H9" s="239">
        <v>0.19</v>
      </c>
      <c r="I9" s="238">
        <f t="shared" si="0"/>
        <v>29275.200000000001</v>
      </c>
      <c r="J9" s="239">
        <v>0</v>
      </c>
      <c r="K9" s="238">
        <f t="shared" si="1"/>
        <v>0</v>
      </c>
      <c r="L9" s="239" t="s">
        <v>53</v>
      </c>
      <c r="M9" s="242" t="s">
        <v>57</v>
      </c>
      <c r="N9" s="238"/>
      <c r="O9" s="238"/>
      <c r="P9" s="238"/>
    </row>
    <row r="10" spans="1:16" ht="55" x14ac:dyDescent="0.35">
      <c r="A10" s="241" t="s">
        <v>58</v>
      </c>
      <c r="B10" s="239" t="s">
        <v>103</v>
      </c>
      <c r="C10" s="239" t="s">
        <v>32</v>
      </c>
      <c r="D10" s="239">
        <v>300</v>
      </c>
      <c r="E10" s="239">
        <v>15</v>
      </c>
      <c r="F10" s="239">
        <v>36148.300000000003</v>
      </c>
      <c r="G10" s="239">
        <v>2400</v>
      </c>
      <c r="H10" s="239">
        <v>0.19</v>
      </c>
      <c r="I10" s="238">
        <f t="shared" si="0"/>
        <v>6840</v>
      </c>
      <c r="J10" s="239">
        <v>0</v>
      </c>
      <c r="K10" s="238">
        <f t="shared" si="1"/>
        <v>0</v>
      </c>
      <c r="L10" s="239" t="s">
        <v>53</v>
      </c>
      <c r="M10" s="242" t="s">
        <v>54</v>
      </c>
      <c r="N10" s="238"/>
      <c r="O10" s="238"/>
      <c r="P10" s="238"/>
    </row>
    <row r="11" spans="1:16" ht="55" x14ac:dyDescent="0.35">
      <c r="A11" s="241" t="s">
        <v>58</v>
      </c>
      <c r="B11" s="239" t="s">
        <v>105</v>
      </c>
      <c r="C11" s="239" t="s">
        <v>32</v>
      </c>
      <c r="D11" s="239">
        <v>300</v>
      </c>
      <c r="E11" s="239">
        <v>24</v>
      </c>
      <c r="F11" s="239">
        <v>57635.5</v>
      </c>
      <c r="G11" s="239">
        <v>2400</v>
      </c>
      <c r="H11" s="239">
        <v>0.19</v>
      </c>
      <c r="I11" s="238">
        <f t="shared" si="0"/>
        <v>10944</v>
      </c>
      <c r="J11" s="239">
        <v>0</v>
      </c>
      <c r="K11" s="238">
        <f t="shared" si="1"/>
        <v>0</v>
      </c>
      <c r="L11" s="239" t="s">
        <v>53</v>
      </c>
      <c r="M11" s="242" t="s">
        <v>57</v>
      </c>
      <c r="N11" s="238"/>
      <c r="O11" s="238"/>
      <c r="P11" s="238"/>
    </row>
    <row r="12" spans="1:16" ht="55" x14ac:dyDescent="0.35">
      <c r="A12" s="241" t="s">
        <v>79</v>
      </c>
      <c r="B12" s="239" t="s">
        <v>97</v>
      </c>
      <c r="C12" s="239" t="s">
        <v>15</v>
      </c>
      <c r="D12" s="239">
        <v>13</v>
      </c>
      <c r="E12" s="239">
        <v>16.5</v>
      </c>
      <c r="F12" s="239">
        <v>11922.9</v>
      </c>
      <c r="G12" s="239">
        <v>875</v>
      </c>
      <c r="H12" s="239">
        <v>0.28000000000000003</v>
      </c>
      <c r="I12" s="238">
        <f t="shared" si="0"/>
        <v>4042.5000000000005</v>
      </c>
      <c r="J12" s="239">
        <v>0</v>
      </c>
      <c r="K12" s="238">
        <f t="shared" si="1"/>
        <v>0</v>
      </c>
      <c r="L12" s="239" t="s">
        <v>53</v>
      </c>
      <c r="M12" s="242" t="s">
        <v>54</v>
      </c>
      <c r="N12" s="238"/>
      <c r="O12" s="238"/>
      <c r="P12" s="238"/>
    </row>
    <row r="13" spans="1:16" ht="55" x14ac:dyDescent="0.35">
      <c r="A13" s="241" t="s">
        <v>79</v>
      </c>
      <c r="B13" s="239" t="s">
        <v>97</v>
      </c>
      <c r="C13" s="239" t="s">
        <v>15</v>
      </c>
      <c r="D13" s="239">
        <v>13</v>
      </c>
      <c r="E13" s="239">
        <v>16.5</v>
      </c>
      <c r="F13" s="239">
        <v>12982.8</v>
      </c>
      <c r="G13" s="239">
        <v>875</v>
      </c>
      <c r="H13" s="239">
        <v>0.28000000000000003</v>
      </c>
      <c r="I13" s="238">
        <f t="shared" si="0"/>
        <v>4042.5000000000005</v>
      </c>
      <c r="J13" s="239">
        <v>0</v>
      </c>
      <c r="K13" s="238">
        <f t="shared" si="1"/>
        <v>0</v>
      </c>
      <c r="L13" s="239" t="s">
        <v>53</v>
      </c>
      <c r="M13" s="242" t="s">
        <v>57</v>
      </c>
      <c r="N13" s="238"/>
      <c r="O13" s="238"/>
      <c r="P13" s="238"/>
    </row>
    <row r="14" spans="1:16" ht="55" x14ac:dyDescent="0.35">
      <c r="A14" s="241" t="s">
        <v>50</v>
      </c>
      <c r="B14" s="239" t="s">
        <v>97</v>
      </c>
      <c r="C14" s="239" t="s">
        <v>52</v>
      </c>
      <c r="D14" s="239">
        <v>66</v>
      </c>
      <c r="E14" s="239">
        <v>71.5</v>
      </c>
      <c r="F14" s="239">
        <v>35262.9</v>
      </c>
      <c r="G14" s="239">
        <v>61</v>
      </c>
      <c r="H14" s="239">
        <v>1.5</v>
      </c>
      <c r="I14" s="238">
        <f t="shared" si="0"/>
        <v>6542.25</v>
      </c>
      <c r="J14" s="239">
        <v>0</v>
      </c>
      <c r="K14" s="238">
        <f t="shared" si="1"/>
        <v>0</v>
      </c>
      <c r="L14" s="239" t="s">
        <v>53</v>
      </c>
      <c r="M14" s="242" t="s">
        <v>54</v>
      </c>
      <c r="N14" s="238"/>
      <c r="O14" s="238"/>
      <c r="P14" s="238"/>
    </row>
    <row r="15" spans="1:16" ht="165" x14ac:dyDescent="0.35">
      <c r="A15" s="241" t="s">
        <v>89</v>
      </c>
      <c r="B15" s="239" t="s">
        <v>62</v>
      </c>
      <c r="C15" s="239" t="s">
        <v>20</v>
      </c>
      <c r="D15" s="239">
        <v>80</v>
      </c>
      <c r="E15" s="239">
        <v>16.399999999999999</v>
      </c>
      <c r="F15" s="239">
        <v>11803.5</v>
      </c>
      <c r="G15" s="239">
        <v>470</v>
      </c>
      <c r="H15" s="239">
        <v>0.2</v>
      </c>
      <c r="I15" s="238">
        <f t="shared" si="0"/>
        <v>1541.6</v>
      </c>
      <c r="J15" s="239">
        <v>1.6</v>
      </c>
      <c r="K15" s="238">
        <f t="shared" si="1"/>
        <v>12332.8</v>
      </c>
      <c r="L15" s="239" t="s">
        <v>53</v>
      </c>
      <c r="M15" s="242" t="s">
        <v>57</v>
      </c>
      <c r="N15" s="238"/>
      <c r="O15" s="238"/>
      <c r="P15" s="238"/>
    </row>
    <row r="16" spans="1:16" ht="165" x14ac:dyDescent="0.35">
      <c r="A16" s="241" t="s">
        <v>79</v>
      </c>
      <c r="B16" s="239" t="s">
        <v>62</v>
      </c>
      <c r="C16" s="239" t="s">
        <v>15</v>
      </c>
      <c r="D16" s="239">
        <v>15</v>
      </c>
      <c r="E16" s="239">
        <v>3</v>
      </c>
      <c r="F16" s="239">
        <v>2582.4</v>
      </c>
      <c r="G16" s="239">
        <v>875</v>
      </c>
      <c r="H16" s="239">
        <v>0.28000000000000003</v>
      </c>
      <c r="I16" s="238">
        <f t="shared" si="0"/>
        <v>735.00000000000011</v>
      </c>
      <c r="J16" s="239">
        <v>0</v>
      </c>
      <c r="K16" s="238">
        <f t="shared" si="1"/>
        <v>0</v>
      </c>
      <c r="L16" s="239" t="s">
        <v>53</v>
      </c>
      <c r="M16" s="242" t="s">
        <v>54</v>
      </c>
      <c r="N16" s="238"/>
      <c r="O16" s="238"/>
      <c r="P16" s="238"/>
    </row>
    <row r="17" spans="1:16" ht="165" x14ac:dyDescent="0.35">
      <c r="A17" s="241" t="s">
        <v>79</v>
      </c>
      <c r="B17" s="239" t="s">
        <v>62</v>
      </c>
      <c r="C17" s="239" t="s">
        <v>15</v>
      </c>
      <c r="D17" s="239">
        <v>15</v>
      </c>
      <c r="E17" s="239">
        <v>6</v>
      </c>
      <c r="F17" s="239">
        <v>5815.3</v>
      </c>
      <c r="G17" s="239">
        <v>875</v>
      </c>
      <c r="H17" s="239">
        <v>0.28000000000000003</v>
      </c>
      <c r="I17" s="238">
        <f t="shared" si="0"/>
        <v>1470.0000000000002</v>
      </c>
      <c r="J17" s="239">
        <v>0</v>
      </c>
      <c r="K17" s="238">
        <f t="shared" si="1"/>
        <v>0</v>
      </c>
      <c r="L17" s="239" t="s">
        <v>53</v>
      </c>
      <c r="M17" s="242" t="s">
        <v>57</v>
      </c>
      <c r="N17" s="238"/>
      <c r="O17" s="238"/>
      <c r="P17" s="238"/>
    </row>
    <row r="18" spans="1:16" ht="165" x14ac:dyDescent="0.35">
      <c r="A18" s="241" t="s">
        <v>59</v>
      </c>
      <c r="B18" s="239" t="s">
        <v>62</v>
      </c>
      <c r="C18" s="239" t="s">
        <v>61</v>
      </c>
      <c r="D18" s="239">
        <v>20</v>
      </c>
      <c r="E18" s="239">
        <v>4.2</v>
      </c>
      <c r="F18" s="239">
        <v>5.3</v>
      </c>
      <c r="G18" s="239">
        <v>0</v>
      </c>
      <c r="H18" s="239">
        <v>0</v>
      </c>
      <c r="I18" s="238">
        <f t="shared" si="0"/>
        <v>0</v>
      </c>
      <c r="J18" s="239">
        <v>0</v>
      </c>
      <c r="K18" s="238">
        <f t="shared" si="1"/>
        <v>0</v>
      </c>
      <c r="L18" s="239" t="s">
        <v>53</v>
      </c>
      <c r="M18" s="242" t="s">
        <v>57</v>
      </c>
      <c r="N18" s="238"/>
      <c r="O18" s="238"/>
      <c r="P18" s="238"/>
    </row>
    <row r="19" spans="1:16" ht="165" x14ac:dyDescent="0.35">
      <c r="A19" s="241" t="s">
        <v>50</v>
      </c>
      <c r="B19" s="239" t="s">
        <v>62</v>
      </c>
      <c r="C19" s="239" t="s">
        <v>52</v>
      </c>
      <c r="D19" s="239">
        <v>98</v>
      </c>
      <c r="E19" s="239">
        <v>21.6</v>
      </c>
      <c r="F19" s="239">
        <v>10568.4</v>
      </c>
      <c r="G19" s="239">
        <v>61</v>
      </c>
      <c r="H19" s="239">
        <v>1.5</v>
      </c>
      <c r="I19" s="238">
        <f t="shared" si="0"/>
        <v>1976.4</v>
      </c>
      <c r="J19" s="239">
        <v>0</v>
      </c>
      <c r="K19" s="238">
        <f t="shared" si="1"/>
        <v>0</v>
      </c>
      <c r="L19" s="239" t="s">
        <v>53</v>
      </c>
      <c r="M19" s="242" t="s">
        <v>57</v>
      </c>
      <c r="N19" s="238"/>
      <c r="O19" s="238"/>
      <c r="P19" s="238"/>
    </row>
    <row r="20" spans="1:16" ht="55" x14ac:dyDescent="0.35">
      <c r="A20" s="241" t="s">
        <v>89</v>
      </c>
      <c r="B20" s="239" t="s">
        <v>80</v>
      </c>
      <c r="C20" s="239" t="s">
        <v>20</v>
      </c>
      <c r="D20" s="239">
        <v>80</v>
      </c>
      <c r="E20" s="239">
        <v>8.6</v>
      </c>
      <c r="F20" s="239">
        <v>6086.4</v>
      </c>
      <c r="G20" s="239">
        <v>470</v>
      </c>
      <c r="H20" s="239">
        <v>0.2</v>
      </c>
      <c r="I20" s="238">
        <f t="shared" si="0"/>
        <v>808.40000000000009</v>
      </c>
      <c r="J20" s="239">
        <v>1.6</v>
      </c>
      <c r="K20" s="238">
        <f t="shared" si="1"/>
        <v>6467.2000000000007</v>
      </c>
      <c r="L20" s="239" t="s">
        <v>53</v>
      </c>
      <c r="M20" s="242" t="s">
        <v>54</v>
      </c>
      <c r="N20" s="238"/>
      <c r="O20" s="238"/>
      <c r="P20" s="238"/>
    </row>
    <row r="21" spans="1:16" ht="55" x14ac:dyDescent="0.35">
      <c r="A21" s="241" t="s">
        <v>79</v>
      </c>
      <c r="B21" s="239" t="s">
        <v>80</v>
      </c>
      <c r="C21" s="239" t="s">
        <v>15</v>
      </c>
      <c r="D21" s="239">
        <v>15</v>
      </c>
      <c r="E21" s="239">
        <v>1.8</v>
      </c>
      <c r="F21" s="239">
        <v>1513.7</v>
      </c>
      <c r="G21" s="239">
        <v>875</v>
      </c>
      <c r="H21" s="239">
        <v>0.28000000000000003</v>
      </c>
      <c r="I21" s="238">
        <f t="shared" si="0"/>
        <v>441.00000000000006</v>
      </c>
      <c r="J21" s="239">
        <v>0</v>
      </c>
      <c r="K21" s="238">
        <f t="shared" si="1"/>
        <v>0</v>
      </c>
      <c r="L21" s="239" t="s">
        <v>53</v>
      </c>
      <c r="M21" s="242" t="s">
        <v>57</v>
      </c>
      <c r="N21" s="238"/>
      <c r="O21" s="238"/>
      <c r="P21" s="238"/>
    </row>
    <row r="22" spans="1:16" ht="55" x14ac:dyDescent="0.35">
      <c r="A22" s="241" t="s">
        <v>79</v>
      </c>
      <c r="B22" s="239" t="s">
        <v>80</v>
      </c>
      <c r="C22" s="239" t="s">
        <v>15</v>
      </c>
      <c r="D22" s="239">
        <v>15</v>
      </c>
      <c r="E22" s="239">
        <v>1.8</v>
      </c>
      <c r="F22" s="239">
        <v>1403.6</v>
      </c>
      <c r="G22" s="239">
        <v>875</v>
      </c>
      <c r="H22" s="239">
        <v>0.28000000000000003</v>
      </c>
      <c r="I22" s="238">
        <f t="shared" si="0"/>
        <v>441.00000000000006</v>
      </c>
      <c r="J22" s="239">
        <v>0</v>
      </c>
      <c r="K22" s="238">
        <f t="shared" si="1"/>
        <v>0</v>
      </c>
      <c r="L22" s="239" t="s">
        <v>53</v>
      </c>
      <c r="M22" s="242" t="s">
        <v>54</v>
      </c>
      <c r="N22" s="238"/>
      <c r="O22" s="238"/>
      <c r="P22" s="238"/>
    </row>
    <row r="23" spans="1:16" ht="165" x14ac:dyDescent="0.35">
      <c r="A23" s="241" t="s">
        <v>89</v>
      </c>
      <c r="B23" s="239" t="s">
        <v>85</v>
      </c>
      <c r="C23" s="239" t="s">
        <v>20</v>
      </c>
      <c r="D23" s="239">
        <v>80</v>
      </c>
      <c r="E23" s="239">
        <v>23.1</v>
      </c>
      <c r="F23" s="239">
        <v>15650.7</v>
      </c>
      <c r="G23" s="239">
        <v>470</v>
      </c>
      <c r="H23" s="239">
        <v>0.2</v>
      </c>
      <c r="I23" s="238">
        <f t="shared" si="0"/>
        <v>2171.4</v>
      </c>
      <c r="J23" s="239">
        <v>1.6</v>
      </c>
      <c r="K23" s="238">
        <f t="shared" si="1"/>
        <v>17371.2</v>
      </c>
      <c r="L23" s="239" t="s">
        <v>53</v>
      </c>
      <c r="M23" s="242" t="s">
        <v>57</v>
      </c>
      <c r="N23" s="238"/>
      <c r="O23" s="238"/>
      <c r="P23" s="238"/>
    </row>
    <row r="24" spans="1:16" ht="165" x14ac:dyDescent="0.35">
      <c r="A24" s="241" t="s">
        <v>79</v>
      </c>
      <c r="B24" s="239" t="s">
        <v>85</v>
      </c>
      <c r="C24" s="239" t="s">
        <v>15</v>
      </c>
      <c r="D24" s="239">
        <v>15</v>
      </c>
      <c r="E24" s="239">
        <v>3.5</v>
      </c>
      <c r="F24" s="239">
        <v>3583.7</v>
      </c>
      <c r="G24" s="239">
        <v>875</v>
      </c>
      <c r="H24" s="239">
        <v>0.28000000000000003</v>
      </c>
      <c r="I24" s="238">
        <f t="shared" si="0"/>
        <v>857.50000000000011</v>
      </c>
      <c r="J24" s="239">
        <v>0</v>
      </c>
      <c r="K24" s="238">
        <f t="shared" si="1"/>
        <v>0</v>
      </c>
      <c r="L24" s="239" t="s">
        <v>53</v>
      </c>
      <c r="M24" s="242" t="s">
        <v>57</v>
      </c>
      <c r="N24" s="238"/>
      <c r="O24" s="238"/>
      <c r="P24" s="238"/>
    </row>
    <row r="25" spans="1:16" ht="165" x14ac:dyDescent="0.35">
      <c r="A25" s="241" t="s">
        <v>79</v>
      </c>
      <c r="B25" s="239" t="s">
        <v>85</v>
      </c>
      <c r="C25" s="239" t="s">
        <v>15</v>
      </c>
      <c r="D25" s="239">
        <v>15</v>
      </c>
      <c r="E25" s="239">
        <v>3.5</v>
      </c>
      <c r="F25" s="239">
        <v>3191.2</v>
      </c>
      <c r="G25" s="239">
        <v>875</v>
      </c>
      <c r="H25" s="239">
        <v>0.28000000000000003</v>
      </c>
      <c r="I25" s="238">
        <f t="shared" si="0"/>
        <v>857.50000000000011</v>
      </c>
      <c r="J25" s="239">
        <v>0</v>
      </c>
      <c r="K25" s="238">
        <f t="shared" si="1"/>
        <v>0</v>
      </c>
      <c r="L25" s="239" t="s">
        <v>53</v>
      </c>
      <c r="M25" s="242" t="s">
        <v>54</v>
      </c>
      <c r="N25" s="238"/>
      <c r="O25" s="238"/>
      <c r="P25" s="238"/>
    </row>
    <row r="26" spans="1:16" ht="165" x14ac:dyDescent="0.35">
      <c r="A26" s="241" t="s">
        <v>79</v>
      </c>
      <c r="B26" s="239" t="s">
        <v>93</v>
      </c>
      <c r="C26" s="239" t="s">
        <v>15</v>
      </c>
      <c r="D26" s="239">
        <v>15</v>
      </c>
      <c r="E26" s="239">
        <v>7</v>
      </c>
      <c r="F26" s="239">
        <v>8146.8</v>
      </c>
      <c r="G26" s="239">
        <v>875</v>
      </c>
      <c r="H26" s="239">
        <v>0.28000000000000003</v>
      </c>
      <c r="I26" s="238">
        <f t="shared" si="0"/>
        <v>1715.0000000000002</v>
      </c>
      <c r="J26" s="239">
        <v>0</v>
      </c>
      <c r="K26" s="238">
        <f t="shared" si="1"/>
        <v>0</v>
      </c>
      <c r="L26" s="239" t="s">
        <v>53</v>
      </c>
      <c r="M26" s="242" t="s">
        <v>57</v>
      </c>
      <c r="N26" s="238"/>
      <c r="O26" s="238"/>
      <c r="P26" s="238"/>
    </row>
    <row r="27" spans="1:16" ht="165" x14ac:dyDescent="0.35">
      <c r="A27" s="241" t="s">
        <v>50</v>
      </c>
      <c r="B27" s="239" t="s">
        <v>93</v>
      </c>
      <c r="C27" s="239" t="s">
        <v>52</v>
      </c>
      <c r="D27" s="239">
        <v>66</v>
      </c>
      <c r="E27" s="239">
        <v>19.399999999999999</v>
      </c>
      <c r="F27" s="239">
        <v>10417.200000000001</v>
      </c>
      <c r="G27" s="239">
        <v>61</v>
      </c>
      <c r="H27" s="239">
        <v>1.5</v>
      </c>
      <c r="I27" s="238">
        <f t="shared" si="0"/>
        <v>1775.1</v>
      </c>
      <c r="J27" s="239">
        <v>0</v>
      </c>
      <c r="K27" s="238">
        <f t="shared" si="1"/>
        <v>0</v>
      </c>
      <c r="L27" s="239" t="s">
        <v>53</v>
      </c>
      <c r="M27" s="242" t="s">
        <v>54</v>
      </c>
      <c r="N27" s="238"/>
      <c r="O27" s="238"/>
      <c r="P27" s="238"/>
    </row>
    <row r="28" spans="1:16" ht="110" x14ac:dyDescent="0.35">
      <c r="A28" s="241" t="s">
        <v>89</v>
      </c>
      <c r="B28" s="239" t="s">
        <v>63</v>
      </c>
      <c r="C28" s="239" t="s">
        <v>20</v>
      </c>
      <c r="D28" s="239">
        <v>80</v>
      </c>
      <c r="E28" s="239">
        <v>19</v>
      </c>
      <c r="F28" s="239">
        <v>13420.7</v>
      </c>
      <c r="G28" s="239">
        <v>470</v>
      </c>
      <c r="H28" s="239">
        <v>0.2</v>
      </c>
      <c r="I28" s="238">
        <f t="shared" si="0"/>
        <v>1786</v>
      </c>
      <c r="J28" s="239">
        <v>1.6</v>
      </c>
      <c r="K28" s="238">
        <f t="shared" si="1"/>
        <v>14288</v>
      </c>
      <c r="L28" s="239" t="s">
        <v>53</v>
      </c>
      <c r="M28" s="242" t="s">
        <v>54</v>
      </c>
      <c r="N28" s="238"/>
      <c r="O28" s="238"/>
      <c r="P28" s="238"/>
    </row>
    <row r="29" spans="1:16" ht="110" x14ac:dyDescent="0.35">
      <c r="A29" s="241" t="s">
        <v>79</v>
      </c>
      <c r="B29" s="239" t="s">
        <v>63</v>
      </c>
      <c r="C29" s="239" t="s">
        <v>15</v>
      </c>
      <c r="D29" s="239">
        <v>15</v>
      </c>
      <c r="E29" s="239">
        <v>8.3000000000000007</v>
      </c>
      <c r="F29" s="239">
        <v>8365.4</v>
      </c>
      <c r="G29" s="239">
        <v>875</v>
      </c>
      <c r="H29" s="239">
        <v>0.28000000000000003</v>
      </c>
      <c r="I29" s="238">
        <f t="shared" si="0"/>
        <v>2033.5000000000005</v>
      </c>
      <c r="J29" s="239">
        <v>0</v>
      </c>
      <c r="K29" s="238">
        <f t="shared" si="1"/>
        <v>0</v>
      </c>
      <c r="L29" s="239" t="s">
        <v>53</v>
      </c>
      <c r="M29" s="242" t="s">
        <v>57</v>
      </c>
      <c r="N29" s="238"/>
      <c r="O29" s="238"/>
      <c r="P29" s="238"/>
    </row>
    <row r="30" spans="1:16" ht="110" x14ac:dyDescent="0.35">
      <c r="A30" s="241" t="s">
        <v>59</v>
      </c>
      <c r="B30" s="239" t="s">
        <v>63</v>
      </c>
      <c r="C30" s="239" t="s">
        <v>61</v>
      </c>
      <c r="D30" s="239">
        <v>20</v>
      </c>
      <c r="E30" s="239">
        <v>5.0999999999999996</v>
      </c>
      <c r="F30" s="239">
        <v>5.4</v>
      </c>
      <c r="G30" s="239">
        <v>0</v>
      </c>
      <c r="H30" s="239">
        <v>0</v>
      </c>
      <c r="I30" s="238">
        <f t="shared" si="0"/>
        <v>0</v>
      </c>
      <c r="J30" s="239">
        <v>0</v>
      </c>
      <c r="K30" s="238">
        <f t="shared" si="1"/>
        <v>0</v>
      </c>
      <c r="L30" s="239" t="s">
        <v>53</v>
      </c>
      <c r="M30" s="242" t="s">
        <v>54</v>
      </c>
      <c r="N30" s="238"/>
      <c r="O30" s="238"/>
      <c r="P30" s="238"/>
    </row>
    <row r="31" spans="1:16" ht="110" x14ac:dyDescent="0.35">
      <c r="A31" s="241" t="s">
        <v>50</v>
      </c>
      <c r="B31" s="239" t="s">
        <v>63</v>
      </c>
      <c r="C31" s="239" t="s">
        <v>52</v>
      </c>
      <c r="D31" s="239">
        <v>68</v>
      </c>
      <c r="E31" s="239">
        <v>16.600000000000001</v>
      </c>
      <c r="F31" s="239">
        <v>8027.3</v>
      </c>
      <c r="G31" s="239">
        <v>61</v>
      </c>
      <c r="H31" s="239">
        <v>1.5</v>
      </c>
      <c r="I31" s="238">
        <f t="shared" si="0"/>
        <v>1518.9</v>
      </c>
      <c r="J31" s="239">
        <v>0</v>
      </c>
      <c r="K31" s="238">
        <f t="shared" si="1"/>
        <v>0</v>
      </c>
      <c r="L31" s="239" t="s">
        <v>53</v>
      </c>
      <c r="M31" s="242" t="s">
        <v>54</v>
      </c>
      <c r="N31" s="238"/>
      <c r="O31" s="238"/>
      <c r="P31" s="238"/>
    </row>
    <row r="32" spans="1:16" ht="110" x14ac:dyDescent="0.35">
      <c r="A32" s="241" t="s">
        <v>89</v>
      </c>
      <c r="B32" s="239" t="s">
        <v>102</v>
      </c>
      <c r="C32" s="239" t="s">
        <v>20</v>
      </c>
      <c r="D32" s="239">
        <v>80</v>
      </c>
      <c r="E32" s="239">
        <v>137.6</v>
      </c>
      <c r="F32" s="239">
        <v>97436.3</v>
      </c>
      <c r="G32" s="239">
        <v>470</v>
      </c>
      <c r="H32" s="239">
        <v>0.2</v>
      </c>
      <c r="I32" s="238">
        <f t="shared" si="0"/>
        <v>12934.400000000001</v>
      </c>
      <c r="J32" s="239">
        <v>1.6</v>
      </c>
      <c r="K32" s="238">
        <f t="shared" si="1"/>
        <v>103475.20000000001</v>
      </c>
      <c r="L32" s="239" t="s">
        <v>53</v>
      </c>
      <c r="M32" s="242" t="s">
        <v>54</v>
      </c>
      <c r="N32" s="238"/>
      <c r="O32" s="238"/>
      <c r="P32" s="238"/>
    </row>
    <row r="33" spans="1:16" ht="110" x14ac:dyDescent="0.35">
      <c r="A33" s="241" t="s">
        <v>79</v>
      </c>
      <c r="B33" s="239" t="s">
        <v>102</v>
      </c>
      <c r="C33" s="239" t="s">
        <v>15</v>
      </c>
      <c r="D33" s="239">
        <v>15</v>
      </c>
      <c r="E33" s="239">
        <v>26</v>
      </c>
      <c r="F33" s="239">
        <v>20574.599999999999</v>
      </c>
      <c r="G33" s="239">
        <v>875</v>
      </c>
      <c r="H33" s="239">
        <v>0.28000000000000003</v>
      </c>
      <c r="I33" s="238">
        <f t="shared" si="0"/>
        <v>6370.0000000000009</v>
      </c>
      <c r="J33" s="239">
        <v>0</v>
      </c>
      <c r="K33" s="238">
        <f t="shared" si="1"/>
        <v>0</v>
      </c>
      <c r="L33" s="239" t="s">
        <v>53</v>
      </c>
      <c r="M33" s="242" t="s">
        <v>57</v>
      </c>
      <c r="N33" s="238"/>
      <c r="O33" s="238"/>
      <c r="P33" s="238"/>
    </row>
    <row r="34" spans="1:16" ht="110" x14ac:dyDescent="0.35">
      <c r="A34" s="241" t="s">
        <v>50</v>
      </c>
      <c r="B34" s="239" t="s">
        <v>102</v>
      </c>
      <c r="C34" s="239" t="s">
        <v>52</v>
      </c>
      <c r="D34" s="239">
        <v>50</v>
      </c>
      <c r="E34" s="239">
        <v>43</v>
      </c>
      <c r="F34" s="239">
        <v>21801.3</v>
      </c>
      <c r="G34" s="239">
        <v>61</v>
      </c>
      <c r="H34" s="239">
        <v>1.5</v>
      </c>
      <c r="I34" s="238">
        <f t="shared" si="0"/>
        <v>3934.5</v>
      </c>
      <c r="J34" s="239">
        <v>0</v>
      </c>
      <c r="K34" s="238">
        <f t="shared" si="1"/>
        <v>0</v>
      </c>
      <c r="L34" s="239" t="s">
        <v>53</v>
      </c>
      <c r="M34" s="242" t="s">
        <v>54</v>
      </c>
      <c r="N34" s="238"/>
      <c r="O34" s="238"/>
      <c r="P34" s="238"/>
    </row>
    <row r="35" spans="1:16" ht="55" x14ac:dyDescent="0.35">
      <c r="A35" s="241" t="s">
        <v>95</v>
      </c>
      <c r="B35" s="239" t="s">
        <v>96</v>
      </c>
      <c r="C35" s="239" t="s">
        <v>30</v>
      </c>
      <c r="D35" s="239">
        <v>300</v>
      </c>
      <c r="E35" s="239">
        <v>3.8</v>
      </c>
      <c r="F35" s="239">
        <v>9014</v>
      </c>
      <c r="G35" s="239">
        <v>2375</v>
      </c>
      <c r="H35" s="239">
        <v>0.15</v>
      </c>
      <c r="I35" s="238">
        <f t="shared" si="0"/>
        <v>1353.75</v>
      </c>
      <c r="J35" s="239">
        <v>0</v>
      </c>
      <c r="K35" s="238">
        <f t="shared" si="1"/>
        <v>0</v>
      </c>
      <c r="L35" s="239" t="s">
        <v>53</v>
      </c>
      <c r="M35" s="242" t="s">
        <v>54</v>
      </c>
      <c r="N35" s="238"/>
      <c r="O35" s="238"/>
      <c r="P35" s="238"/>
    </row>
    <row r="36" spans="1:16" ht="55" x14ac:dyDescent="0.35">
      <c r="A36" s="241" t="s">
        <v>95</v>
      </c>
      <c r="B36" s="239" t="s">
        <v>104</v>
      </c>
      <c r="C36" s="239" t="s">
        <v>30</v>
      </c>
      <c r="D36" s="239">
        <v>200</v>
      </c>
      <c r="E36" s="239">
        <v>16.3</v>
      </c>
      <c r="F36" s="239">
        <v>38202.800000000003</v>
      </c>
      <c r="G36" s="239">
        <v>2375</v>
      </c>
      <c r="H36" s="239">
        <v>0.15</v>
      </c>
      <c r="I36" s="238">
        <f t="shared" si="0"/>
        <v>5806.875</v>
      </c>
      <c r="J36" s="239">
        <v>0</v>
      </c>
      <c r="K36" s="238">
        <f t="shared" si="1"/>
        <v>0</v>
      </c>
      <c r="L36" s="239" t="s">
        <v>53</v>
      </c>
      <c r="M36" s="242" t="s">
        <v>54</v>
      </c>
      <c r="N36" s="238"/>
      <c r="O36" s="238"/>
      <c r="P36" s="238"/>
    </row>
    <row r="37" spans="1:16" ht="82.5" x14ac:dyDescent="0.35">
      <c r="A37" s="241" t="s">
        <v>89</v>
      </c>
      <c r="B37" s="239" t="s">
        <v>69</v>
      </c>
      <c r="C37" s="239" t="s">
        <v>20</v>
      </c>
      <c r="D37" s="239">
        <v>120</v>
      </c>
      <c r="E37" s="239">
        <v>28.5</v>
      </c>
      <c r="F37" s="239">
        <v>19964.8</v>
      </c>
      <c r="G37" s="239">
        <v>470</v>
      </c>
      <c r="H37" s="239">
        <v>0.2</v>
      </c>
      <c r="I37" s="238">
        <f t="shared" si="0"/>
        <v>2679</v>
      </c>
      <c r="J37" s="239">
        <v>1.6</v>
      </c>
      <c r="K37" s="238">
        <f t="shared" si="1"/>
        <v>21432</v>
      </c>
      <c r="L37" s="239" t="s">
        <v>53</v>
      </c>
      <c r="M37" s="242" t="s">
        <v>57</v>
      </c>
      <c r="N37" s="238"/>
      <c r="O37" s="238"/>
      <c r="P37" s="238"/>
    </row>
    <row r="38" spans="1:16" ht="82.5" x14ac:dyDescent="0.35">
      <c r="A38" s="241" t="s">
        <v>79</v>
      </c>
      <c r="B38" s="239" t="s">
        <v>69</v>
      </c>
      <c r="C38" s="239" t="s">
        <v>15</v>
      </c>
      <c r="D38" s="239">
        <v>15</v>
      </c>
      <c r="E38" s="239">
        <v>10</v>
      </c>
      <c r="F38" s="239">
        <v>8820.7999999999993</v>
      </c>
      <c r="G38" s="239">
        <v>875</v>
      </c>
      <c r="H38" s="239">
        <v>0.28000000000000003</v>
      </c>
      <c r="I38" s="238">
        <f t="shared" ref="I38:I69" si="2">(G38*E38)*H38</f>
        <v>2450.0000000000005</v>
      </c>
      <c r="J38" s="239">
        <v>0</v>
      </c>
      <c r="K38" s="238">
        <f t="shared" ref="K38:K69" si="3">(G38*E38)*J38</f>
        <v>0</v>
      </c>
      <c r="L38" s="239" t="s">
        <v>53</v>
      </c>
      <c r="M38" s="242" t="s">
        <v>54</v>
      </c>
      <c r="N38" s="238"/>
      <c r="O38" s="238"/>
      <c r="P38" s="238"/>
    </row>
    <row r="39" spans="1:16" ht="82.5" x14ac:dyDescent="0.35">
      <c r="A39" s="241" t="s">
        <v>59</v>
      </c>
      <c r="B39" s="239" t="s">
        <v>69</v>
      </c>
      <c r="C39" s="239" t="s">
        <v>61</v>
      </c>
      <c r="D39" s="239">
        <v>300</v>
      </c>
      <c r="E39" s="239">
        <v>59.6</v>
      </c>
      <c r="F39" s="239">
        <v>71.599999999999994</v>
      </c>
      <c r="G39" s="239">
        <v>0</v>
      </c>
      <c r="H39" s="239">
        <v>0</v>
      </c>
      <c r="I39" s="238">
        <f t="shared" si="2"/>
        <v>0</v>
      </c>
      <c r="J39" s="239">
        <v>0</v>
      </c>
      <c r="K39" s="238">
        <f t="shared" si="3"/>
        <v>0</v>
      </c>
      <c r="L39" s="239" t="s">
        <v>53</v>
      </c>
      <c r="M39" s="242" t="s">
        <v>54</v>
      </c>
      <c r="N39" s="238"/>
      <c r="O39" s="238"/>
      <c r="P39" s="238"/>
    </row>
    <row r="40" spans="1:16" ht="137.5" x14ac:dyDescent="0.35">
      <c r="A40" s="241" t="s">
        <v>89</v>
      </c>
      <c r="B40" s="239" t="s">
        <v>65</v>
      </c>
      <c r="C40" s="239" t="s">
        <v>20</v>
      </c>
      <c r="D40" s="239">
        <v>80</v>
      </c>
      <c r="E40" s="239">
        <v>22</v>
      </c>
      <c r="F40" s="239">
        <v>14923.1</v>
      </c>
      <c r="G40" s="239">
        <v>470</v>
      </c>
      <c r="H40" s="239">
        <v>0.2</v>
      </c>
      <c r="I40" s="238">
        <f t="shared" si="2"/>
        <v>2068</v>
      </c>
      <c r="J40" s="239">
        <v>1.6</v>
      </c>
      <c r="K40" s="238">
        <f t="shared" si="3"/>
        <v>16544</v>
      </c>
      <c r="L40" s="239" t="s">
        <v>53</v>
      </c>
      <c r="M40" s="242" t="s">
        <v>57</v>
      </c>
      <c r="N40" s="238"/>
      <c r="O40" s="238"/>
      <c r="P40" s="238"/>
    </row>
    <row r="41" spans="1:16" ht="137.5" x14ac:dyDescent="0.35">
      <c r="A41" s="241" t="s">
        <v>86</v>
      </c>
      <c r="B41" s="239" t="s">
        <v>65</v>
      </c>
      <c r="C41" s="239" t="s">
        <v>87</v>
      </c>
      <c r="D41" s="239">
        <v>18</v>
      </c>
      <c r="E41" s="239">
        <v>5.5</v>
      </c>
      <c r="F41" s="239">
        <v>3838</v>
      </c>
      <c r="G41" s="239">
        <v>0</v>
      </c>
      <c r="H41" s="239">
        <v>0</v>
      </c>
      <c r="I41" s="238">
        <f t="shared" si="2"/>
        <v>0</v>
      </c>
      <c r="J41" s="239">
        <v>0</v>
      </c>
      <c r="K41" s="238">
        <f t="shared" si="3"/>
        <v>0</v>
      </c>
      <c r="L41" s="239" t="s">
        <v>53</v>
      </c>
      <c r="M41" s="242" t="s">
        <v>57</v>
      </c>
      <c r="N41" s="238"/>
      <c r="O41" s="238"/>
      <c r="P41" s="238"/>
    </row>
    <row r="42" spans="1:16" ht="137.5" x14ac:dyDescent="0.35">
      <c r="A42" s="241" t="s">
        <v>79</v>
      </c>
      <c r="B42" s="239" t="s">
        <v>65</v>
      </c>
      <c r="C42" s="239" t="s">
        <v>15</v>
      </c>
      <c r="D42" s="239">
        <v>13</v>
      </c>
      <c r="E42" s="239">
        <v>5.5</v>
      </c>
      <c r="F42" s="239">
        <v>2798</v>
      </c>
      <c r="G42" s="239">
        <v>875</v>
      </c>
      <c r="H42" s="239">
        <v>0.28000000000000003</v>
      </c>
      <c r="I42" s="238">
        <f t="shared" si="2"/>
        <v>1347.5000000000002</v>
      </c>
      <c r="J42" s="239">
        <v>0</v>
      </c>
      <c r="K42" s="238">
        <f t="shared" si="3"/>
        <v>0</v>
      </c>
      <c r="L42" s="239" t="s">
        <v>53</v>
      </c>
      <c r="M42" s="242" t="s">
        <v>57</v>
      </c>
      <c r="N42" s="238"/>
      <c r="O42" s="238"/>
      <c r="P42" s="238"/>
    </row>
    <row r="43" spans="1:16" ht="137.5" x14ac:dyDescent="0.35">
      <c r="A43" s="241" t="s">
        <v>64</v>
      </c>
      <c r="B43" s="239" t="s">
        <v>65</v>
      </c>
      <c r="C43" s="239" t="s">
        <v>66</v>
      </c>
      <c r="D43" s="239">
        <v>25</v>
      </c>
      <c r="E43" s="239">
        <v>5.5</v>
      </c>
      <c r="F43" s="239">
        <v>5.5</v>
      </c>
      <c r="G43" s="239">
        <v>0</v>
      </c>
      <c r="H43" s="239">
        <v>0</v>
      </c>
      <c r="I43" s="238">
        <f t="shared" si="2"/>
        <v>0</v>
      </c>
      <c r="J43" s="239">
        <v>0</v>
      </c>
      <c r="K43" s="238">
        <f t="shared" si="3"/>
        <v>0</v>
      </c>
      <c r="L43" s="239" t="s">
        <v>53</v>
      </c>
      <c r="M43" s="242" t="s">
        <v>57</v>
      </c>
      <c r="N43" s="238"/>
      <c r="O43" s="238"/>
      <c r="P43" s="238"/>
    </row>
    <row r="44" spans="1:16" ht="137.5" x14ac:dyDescent="0.35">
      <c r="A44" s="241" t="s">
        <v>64</v>
      </c>
      <c r="B44" s="239" t="s">
        <v>65</v>
      </c>
      <c r="C44" s="239" t="s">
        <v>66</v>
      </c>
      <c r="D44" s="239">
        <v>30</v>
      </c>
      <c r="E44" s="239">
        <v>5.5</v>
      </c>
      <c r="F44" s="239">
        <v>11</v>
      </c>
      <c r="G44" s="239">
        <v>0</v>
      </c>
      <c r="H44" s="239">
        <v>0</v>
      </c>
      <c r="I44" s="238">
        <f t="shared" si="2"/>
        <v>0</v>
      </c>
      <c r="J44" s="239">
        <v>0</v>
      </c>
      <c r="K44" s="238">
        <f t="shared" si="3"/>
        <v>0</v>
      </c>
      <c r="L44" s="239" t="s">
        <v>53</v>
      </c>
      <c r="M44" s="242" t="s">
        <v>57</v>
      </c>
      <c r="N44" s="238"/>
      <c r="O44" s="238"/>
      <c r="P44" s="238"/>
    </row>
    <row r="45" spans="1:16" ht="137.5" x14ac:dyDescent="0.35">
      <c r="A45" s="241" t="s">
        <v>64</v>
      </c>
      <c r="B45" s="239" t="s">
        <v>65</v>
      </c>
      <c r="C45" s="239" t="s">
        <v>66</v>
      </c>
      <c r="D45" s="239">
        <v>160</v>
      </c>
      <c r="E45" s="239">
        <v>33.4</v>
      </c>
      <c r="F45" s="239">
        <v>44</v>
      </c>
      <c r="G45" s="239">
        <v>0</v>
      </c>
      <c r="H45" s="239">
        <v>0</v>
      </c>
      <c r="I45" s="238">
        <f t="shared" si="2"/>
        <v>0</v>
      </c>
      <c r="J45" s="239">
        <v>0</v>
      </c>
      <c r="K45" s="238">
        <f t="shared" si="3"/>
        <v>0</v>
      </c>
      <c r="L45" s="239" t="s">
        <v>53</v>
      </c>
      <c r="M45" s="242" t="s">
        <v>57</v>
      </c>
      <c r="N45" s="238"/>
      <c r="O45" s="238"/>
      <c r="P45" s="238"/>
    </row>
    <row r="46" spans="1:16" ht="137.5" x14ac:dyDescent="0.35">
      <c r="A46" s="241" t="s">
        <v>75</v>
      </c>
      <c r="B46" s="239" t="s">
        <v>65</v>
      </c>
      <c r="C46" s="239" t="s">
        <v>76</v>
      </c>
      <c r="D46" s="239">
        <v>100</v>
      </c>
      <c r="E46" s="239">
        <v>22</v>
      </c>
      <c r="F46" s="239">
        <v>883.1</v>
      </c>
      <c r="G46" s="239">
        <v>33</v>
      </c>
      <c r="H46" s="239">
        <v>1.5</v>
      </c>
      <c r="I46" s="238">
        <f t="shared" si="2"/>
        <v>1089</v>
      </c>
      <c r="J46" s="239">
        <v>0</v>
      </c>
      <c r="K46" s="238">
        <f t="shared" si="3"/>
        <v>0</v>
      </c>
      <c r="L46" s="239" t="s">
        <v>53</v>
      </c>
      <c r="M46" s="242" t="s">
        <v>57</v>
      </c>
      <c r="N46" s="238"/>
      <c r="O46" s="238"/>
      <c r="P46" s="238"/>
    </row>
    <row r="47" spans="1:16" ht="137.5" x14ac:dyDescent="0.35">
      <c r="A47" s="241" t="s">
        <v>50</v>
      </c>
      <c r="B47" s="239" t="s">
        <v>65</v>
      </c>
      <c r="C47" s="239" t="s">
        <v>52</v>
      </c>
      <c r="D47" s="239">
        <v>30</v>
      </c>
      <c r="E47" s="239">
        <v>5.5</v>
      </c>
      <c r="F47" s="239">
        <v>3996.8</v>
      </c>
      <c r="G47" s="239">
        <v>61</v>
      </c>
      <c r="H47" s="239">
        <v>1.5</v>
      </c>
      <c r="I47" s="238">
        <f t="shared" si="2"/>
        <v>503.25</v>
      </c>
      <c r="J47" s="239">
        <v>0</v>
      </c>
      <c r="K47" s="238">
        <f t="shared" si="3"/>
        <v>0</v>
      </c>
      <c r="L47" s="239" t="s">
        <v>53</v>
      </c>
      <c r="M47" s="242" t="s">
        <v>57</v>
      </c>
      <c r="N47" s="238"/>
      <c r="O47" s="238"/>
      <c r="P47" s="238"/>
    </row>
    <row r="48" spans="1:16" ht="137.5" x14ac:dyDescent="0.35">
      <c r="A48" s="241" t="s">
        <v>101</v>
      </c>
      <c r="B48" s="239" t="s">
        <v>65</v>
      </c>
      <c r="C48" s="239" t="s">
        <v>4</v>
      </c>
      <c r="D48" s="239">
        <v>40</v>
      </c>
      <c r="E48" s="239">
        <v>11</v>
      </c>
      <c r="F48" s="239">
        <v>19186.7</v>
      </c>
      <c r="G48" s="239">
        <v>2353</v>
      </c>
      <c r="H48" s="239">
        <v>0.12</v>
      </c>
      <c r="I48" s="238">
        <f t="shared" si="2"/>
        <v>3105.96</v>
      </c>
      <c r="J48" s="239">
        <v>0</v>
      </c>
      <c r="K48" s="238">
        <f t="shared" si="3"/>
        <v>0</v>
      </c>
      <c r="L48" s="239" t="s">
        <v>53</v>
      </c>
      <c r="M48" s="242" t="s">
        <v>57</v>
      </c>
      <c r="N48" s="238"/>
      <c r="O48" s="238"/>
      <c r="P48" s="238"/>
    </row>
    <row r="49" spans="1:16" ht="82.5" x14ac:dyDescent="0.35">
      <c r="A49" s="241" t="s">
        <v>89</v>
      </c>
      <c r="B49" s="239" t="s">
        <v>68</v>
      </c>
      <c r="C49" s="239" t="s">
        <v>20</v>
      </c>
      <c r="D49" s="239">
        <v>80</v>
      </c>
      <c r="E49" s="239">
        <v>114.5</v>
      </c>
      <c r="F49" s="239">
        <v>79932.399999999994</v>
      </c>
      <c r="G49" s="239">
        <v>470</v>
      </c>
      <c r="H49" s="239">
        <v>0.2</v>
      </c>
      <c r="I49" s="238">
        <f t="shared" si="2"/>
        <v>10763</v>
      </c>
      <c r="J49" s="239">
        <v>1.6</v>
      </c>
      <c r="K49" s="238">
        <f t="shared" si="3"/>
        <v>86104</v>
      </c>
      <c r="L49" s="239" t="s">
        <v>53</v>
      </c>
      <c r="M49" s="242" t="s">
        <v>54</v>
      </c>
      <c r="N49" s="238"/>
      <c r="O49" s="238"/>
      <c r="P49" s="238"/>
    </row>
    <row r="50" spans="1:16" ht="82.5" x14ac:dyDescent="0.35">
      <c r="A50" s="241" t="s">
        <v>86</v>
      </c>
      <c r="B50" s="239" t="s">
        <v>68</v>
      </c>
      <c r="C50" s="239" t="s">
        <v>87</v>
      </c>
      <c r="D50" s="239">
        <v>18</v>
      </c>
      <c r="E50" s="239">
        <v>25</v>
      </c>
      <c r="F50" s="239">
        <v>20537.900000000001</v>
      </c>
      <c r="G50" s="239">
        <v>0</v>
      </c>
      <c r="H50" s="239">
        <v>0</v>
      </c>
      <c r="I50" s="238">
        <f t="shared" si="2"/>
        <v>0</v>
      </c>
      <c r="J50" s="239">
        <v>0</v>
      </c>
      <c r="K50" s="238">
        <f t="shared" si="3"/>
        <v>0</v>
      </c>
      <c r="L50" s="239" t="s">
        <v>53</v>
      </c>
      <c r="M50" s="242" t="s">
        <v>57</v>
      </c>
      <c r="N50" s="238"/>
      <c r="O50" s="238"/>
      <c r="P50" s="238"/>
    </row>
    <row r="51" spans="1:16" ht="82.5" x14ac:dyDescent="0.35">
      <c r="A51" s="241" t="s">
        <v>59</v>
      </c>
      <c r="B51" s="239" t="s">
        <v>68</v>
      </c>
      <c r="C51" s="239" t="s">
        <v>61</v>
      </c>
      <c r="D51" s="239">
        <v>30</v>
      </c>
      <c r="E51" s="239">
        <v>42</v>
      </c>
      <c r="F51" s="239">
        <v>52.2</v>
      </c>
      <c r="G51" s="239">
        <v>0</v>
      </c>
      <c r="H51" s="239">
        <v>0</v>
      </c>
      <c r="I51" s="238">
        <f t="shared" si="2"/>
        <v>0</v>
      </c>
      <c r="J51" s="239">
        <v>0</v>
      </c>
      <c r="K51" s="238">
        <f t="shared" si="3"/>
        <v>0</v>
      </c>
      <c r="L51" s="239" t="s">
        <v>53</v>
      </c>
      <c r="M51" s="242" t="s">
        <v>54</v>
      </c>
      <c r="N51" s="238"/>
      <c r="O51" s="238"/>
      <c r="P51" s="238"/>
    </row>
    <row r="52" spans="1:16" ht="82.5" x14ac:dyDescent="0.35">
      <c r="A52" s="241" t="s">
        <v>59</v>
      </c>
      <c r="B52" s="239" t="s">
        <v>68</v>
      </c>
      <c r="C52" s="239" t="s">
        <v>61</v>
      </c>
      <c r="D52" s="239">
        <v>160</v>
      </c>
      <c r="E52" s="239">
        <v>188.2</v>
      </c>
      <c r="F52" s="239">
        <v>226.9</v>
      </c>
      <c r="G52" s="239">
        <v>0</v>
      </c>
      <c r="H52" s="239">
        <v>0</v>
      </c>
      <c r="I52" s="238">
        <f t="shared" si="2"/>
        <v>0</v>
      </c>
      <c r="J52" s="239">
        <v>0</v>
      </c>
      <c r="K52" s="238">
        <f t="shared" si="3"/>
        <v>0</v>
      </c>
      <c r="L52" s="239" t="s">
        <v>53</v>
      </c>
      <c r="M52" s="242" t="s">
        <v>54</v>
      </c>
      <c r="N52" s="238"/>
      <c r="O52" s="238"/>
      <c r="P52" s="238"/>
    </row>
    <row r="53" spans="1:16" ht="82.5" x14ac:dyDescent="0.35">
      <c r="A53" s="241" t="s">
        <v>64</v>
      </c>
      <c r="B53" s="239" t="s">
        <v>68</v>
      </c>
      <c r="C53" s="239" t="s">
        <v>66</v>
      </c>
      <c r="D53" s="239">
        <v>25</v>
      </c>
      <c r="E53" s="239">
        <v>35.5</v>
      </c>
      <c r="F53" s="239">
        <v>42</v>
      </c>
      <c r="G53" s="239">
        <v>0</v>
      </c>
      <c r="H53" s="239">
        <v>0</v>
      </c>
      <c r="I53" s="238">
        <f t="shared" si="2"/>
        <v>0</v>
      </c>
      <c r="J53" s="239">
        <v>0</v>
      </c>
      <c r="K53" s="238">
        <f t="shared" si="3"/>
        <v>0</v>
      </c>
      <c r="L53" s="239" t="s">
        <v>53</v>
      </c>
      <c r="M53" s="242" t="s">
        <v>54</v>
      </c>
      <c r="N53" s="238"/>
      <c r="O53" s="238"/>
      <c r="P53" s="238"/>
    </row>
    <row r="54" spans="1:16" ht="82.5" x14ac:dyDescent="0.35">
      <c r="A54" s="241" t="s">
        <v>75</v>
      </c>
      <c r="B54" s="239" t="s">
        <v>68</v>
      </c>
      <c r="C54" s="239" t="s">
        <v>76</v>
      </c>
      <c r="D54" s="239">
        <v>100</v>
      </c>
      <c r="E54" s="239">
        <v>118.3</v>
      </c>
      <c r="F54" s="239">
        <v>4717.8</v>
      </c>
      <c r="G54" s="239">
        <v>33</v>
      </c>
      <c r="H54" s="239">
        <v>1.5</v>
      </c>
      <c r="I54" s="238">
        <f t="shared" si="2"/>
        <v>5855.85</v>
      </c>
      <c r="J54" s="239">
        <v>0</v>
      </c>
      <c r="K54" s="238">
        <f t="shared" si="3"/>
        <v>0</v>
      </c>
      <c r="L54" s="239" t="s">
        <v>53</v>
      </c>
      <c r="M54" s="242" t="s">
        <v>54</v>
      </c>
      <c r="N54" s="238"/>
      <c r="O54" s="238"/>
      <c r="P54" s="238"/>
    </row>
    <row r="55" spans="1:16" ht="82.5" x14ac:dyDescent="0.35">
      <c r="A55" s="241" t="s">
        <v>50</v>
      </c>
      <c r="B55" s="239" t="s">
        <v>68</v>
      </c>
      <c r="C55" s="239" t="s">
        <v>52</v>
      </c>
      <c r="D55" s="239">
        <v>30</v>
      </c>
      <c r="E55" s="239">
        <v>42</v>
      </c>
      <c r="F55" s="239">
        <v>21393.7</v>
      </c>
      <c r="G55" s="239">
        <v>61</v>
      </c>
      <c r="H55" s="239">
        <v>1.5</v>
      </c>
      <c r="I55" s="238">
        <f t="shared" si="2"/>
        <v>3843</v>
      </c>
      <c r="J55" s="239">
        <v>0</v>
      </c>
      <c r="K55" s="238">
        <f t="shared" si="3"/>
        <v>0</v>
      </c>
      <c r="L55" s="239" t="s">
        <v>53</v>
      </c>
      <c r="M55" s="242" t="s">
        <v>57</v>
      </c>
      <c r="N55" s="238"/>
      <c r="O55" s="238"/>
      <c r="P55" s="238"/>
    </row>
    <row r="56" spans="1:16" ht="82.5" x14ac:dyDescent="0.35">
      <c r="A56" s="241" t="s">
        <v>101</v>
      </c>
      <c r="B56" s="239" t="s">
        <v>68</v>
      </c>
      <c r="C56" s="239" t="s">
        <v>4</v>
      </c>
      <c r="D56" s="239">
        <v>40</v>
      </c>
      <c r="E56" s="239">
        <v>57.8</v>
      </c>
      <c r="F56" s="239">
        <v>102691.1</v>
      </c>
      <c r="G56" s="239">
        <v>2353</v>
      </c>
      <c r="H56" s="239">
        <v>0.12</v>
      </c>
      <c r="I56" s="238">
        <f>(G56*E56)*H56</f>
        <v>16320.407999999999</v>
      </c>
      <c r="J56" s="239">
        <v>0</v>
      </c>
      <c r="K56" s="238">
        <f t="shared" si="3"/>
        <v>0</v>
      </c>
      <c r="L56" s="239" t="s">
        <v>53</v>
      </c>
      <c r="M56" s="242" t="s">
        <v>57</v>
      </c>
      <c r="N56" s="238"/>
      <c r="O56" s="238"/>
      <c r="P56" s="238"/>
    </row>
    <row r="57" spans="1:16" ht="55" x14ac:dyDescent="0.35">
      <c r="A57" s="241" t="s">
        <v>94</v>
      </c>
      <c r="B57" s="239" t="s">
        <v>91</v>
      </c>
      <c r="C57" s="239" t="s">
        <v>28</v>
      </c>
      <c r="D57" s="239">
        <v>2</v>
      </c>
      <c r="E57" s="239">
        <v>1.2</v>
      </c>
      <c r="F57" s="239">
        <v>8553</v>
      </c>
      <c r="G57" s="239">
        <v>7850</v>
      </c>
      <c r="H57" s="239">
        <v>3.1</v>
      </c>
      <c r="I57" s="238">
        <f t="shared" si="2"/>
        <v>29202</v>
      </c>
      <c r="J57" s="239">
        <v>0</v>
      </c>
      <c r="K57" s="238">
        <f t="shared" si="3"/>
        <v>0</v>
      </c>
      <c r="L57" s="239" t="s">
        <v>53</v>
      </c>
      <c r="M57" s="242" t="s">
        <v>54</v>
      </c>
      <c r="N57" s="238"/>
      <c r="O57" s="238"/>
      <c r="P57" s="238"/>
    </row>
    <row r="58" spans="1:16" ht="55" x14ac:dyDescent="0.35">
      <c r="A58" s="241" t="s">
        <v>90</v>
      </c>
      <c r="B58" s="239" t="s">
        <v>91</v>
      </c>
      <c r="C58" s="239" t="s">
        <v>22</v>
      </c>
      <c r="D58" s="239">
        <v>25</v>
      </c>
      <c r="E58" s="239">
        <v>14.8</v>
      </c>
      <c r="F58" s="239">
        <v>7424.4</v>
      </c>
      <c r="G58" s="239">
        <v>474</v>
      </c>
      <c r="H58" s="239">
        <v>0.09</v>
      </c>
      <c r="I58" s="238">
        <f t="shared" si="2"/>
        <v>631.36800000000005</v>
      </c>
      <c r="J58" s="239">
        <v>1.6</v>
      </c>
      <c r="K58" s="238">
        <f t="shared" si="3"/>
        <v>11224.320000000002</v>
      </c>
      <c r="L58" s="239" t="s">
        <v>53</v>
      </c>
      <c r="M58" s="242" t="s">
        <v>54</v>
      </c>
      <c r="N58" s="238"/>
      <c r="O58" s="238"/>
      <c r="P58" s="238"/>
    </row>
    <row r="59" spans="1:16" ht="110" x14ac:dyDescent="0.35">
      <c r="A59" s="241" t="s">
        <v>58</v>
      </c>
      <c r="B59" s="239" t="s">
        <v>88</v>
      </c>
      <c r="C59" s="239" t="s">
        <v>32</v>
      </c>
      <c r="D59" s="239">
        <v>300</v>
      </c>
      <c r="E59" s="239">
        <v>16.100000000000001</v>
      </c>
      <c r="F59" s="239">
        <v>38836.300000000003</v>
      </c>
      <c r="G59" s="239">
        <v>2400</v>
      </c>
      <c r="H59" s="239">
        <v>0.19</v>
      </c>
      <c r="I59" s="238">
        <f t="shared" si="2"/>
        <v>7341.6</v>
      </c>
      <c r="J59" s="239">
        <v>0</v>
      </c>
      <c r="K59" s="238">
        <f t="shared" si="3"/>
        <v>0</v>
      </c>
      <c r="L59" s="239" t="s">
        <v>53</v>
      </c>
      <c r="M59" s="242" t="s">
        <v>54</v>
      </c>
      <c r="N59" s="238"/>
      <c r="O59" s="238"/>
      <c r="P59" s="238"/>
    </row>
    <row r="60" spans="1:16" ht="110" x14ac:dyDescent="0.35">
      <c r="A60" s="241" t="s">
        <v>50</v>
      </c>
      <c r="B60" s="239" t="s">
        <v>88</v>
      </c>
      <c r="C60" s="239" t="s">
        <v>52</v>
      </c>
      <c r="D60" s="239">
        <v>140</v>
      </c>
      <c r="E60" s="239">
        <v>8.3000000000000007</v>
      </c>
      <c r="F60" s="239">
        <v>4163.8</v>
      </c>
      <c r="G60" s="239">
        <v>61</v>
      </c>
      <c r="H60" s="239">
        <v>1.5</v>
      </c>
      <c r="I60" s="238">
        <f t="shared" si="2"/>
        <v>759.45</v>
      </c>
      <c r="J60" s="239">
        <v>0</v>
      </c>
      <c r="K60" s="238">
        <f t="shared" si="3"/>
        <v>0</v>
      </c>
      <c r="L60" s="239" t="s">
        <v>53</v>
      </c>
      <c r="M60" s="242" t="s">
        <v>54</v>
      </c>
      <c r="N60" s="238"/>
      <c r="O60" s="238"/>
      <c r="P60" s="238"/>
    </row>
    <row r="61" spans="1:16" ht="110" x14ac:dyDescent="0.35">
      <c r="A61" s="241" t="s">
        <v>55</v>
      </c>
      <c r="B61" s="239" t="s">
        <v>88</v>
      </c>
      <c r="C61" s="239" t="s">
        <v>56</v>
      </c>
      <c r="D61" s="239">
        <v>100</v>
      </c>
      <c r="E61" s="239">
        <v>6</v>
      </c>
      <c r="F61" s="239">
        <v>14181.2</v>
      </c>
      <c r="G61" s="239">
        <v>2363</v>
      </c>
      <c r="H61" s="239">
        <v>0.14000000000000001</v>
      </c>
      <c r="I61" s="238">
        <f t="shared" si="2"/>
        <v>1984.9200000000003</v>
      </c>
      <c r="J61" s="239">
        <v>0</v>
      </c>
      <c r="K61" s="238">
        <f t="shared" si="3"/>
        <v>0</v>
      </c>
      <c r="L61" s="239" t="s">
        <v>53</v>
      </c>
      <c r="M61" s="242" t="s">
        <v>57</v>
      </c>
      <c r="N61" s="238"/>
      <c r="O61" s="238"/>
      <c r="P61" s="238"/>
    </row>
    <row r="62" spans="1:16" ht="110" x14ac:dyDescent="0.35">
      <c r="A62" s="241" t="s">
        <v>58</v>
      </c>
      <c r="B62" s="239" t="s">
        <v>51</v>
      </c>
      <c r="C62" s="239" t="s">
        <v>32</v>
      </c>
      <c r="D62" s="239">
        <v>150</v>
      </c>
      <c r="E62" s="239">
        <v>0</v>
      </c>
      <c r="F62" s="239">
        <v>0</v>
      </c>
      <c r="G62" s="239">
        <v>2400</v>
      </c>
      <c r="H62" s="239">
        <v>0.19</v>
      </c>
      <c r="I62" s="238">
        <f t="shared" si="2"/>
        <v>0</v>
      </c>
      <c r="J62" s="239">
        <v>0</v>
      </c>
      <c r="K62" s="238">
        <f t="shared" si="3"/>
        <v>0</v>
      </c>
      <c r="L62" s="239" t="s">
        <v>53</v>
      </c>
      <c r="M62" s="242" t="s">
        <v>54</v>
      </c>
      <c r="N62" s="238"/>
      <c r="O62" s="238"/>
      <c r="P62" s="238"/>
    </row>
    <row r="63" spans="1:16" ht="110" x14ac:dyDescent="0.35">
      <c r="A63" s="241" t="s">
        <v>50</v>
      </c>
      <c r="B63" s="239" t="s">
        <v>51</v>
      </c>
      <c r="C63" s="239" t="s">
        <v>52</v>
      </c>
      <c r="D63" s="239">
        <v>250</v>
      </c>
      <c r="E63" s="239">
        <v>0</v>
      </c>
      <c r="F63" s="239">
        <v>0</v>
      </c>
      <c r="G63" s="239">
        <v>61</v>
      </c>
      <c r="H63" s="239">
        <v>1.5</v>
      </c>
      <c r="I63" s="238">
        <f t="shared" si="2"/>
        <v>0</v>
      </c>
      <c r="J63" s="239">
        <v>0</v>
      </c>
      <c r="K63" s="238">
        <f t="shared" si="3"/>
        <v>0</v>
      </c>
      <c r="L63" s="239" t="s">
        <v>53</v>
      </c>
      <c r="M63" s="242" t="s">
        <v>54</v>
      </c>
      <c r="N63" s="238"/>
      <c r="O63" s="238"/>
      <c r="P63" s="238"/>
    </row>
    <row r="64" spans="1:16" ht="110" x14ac:dyDescent="0.35">
      <c r="A64" s="241" t="s">
        <v>55</v>
      </c>
      <c r="B64" s="239" t="s">
        <v>51</v>
      </c>
      <c r="C64" s="239" t="s">
        <v>56</v>
      </c>
      <c r="D64" s="239">
        <v>70</v>
      </c>
      <c r="E64" s="239">
        <v>0</v>
      </c>
      <c r="F64" s="239">
        <v>0</v>
      </c>
      <c r="G64" s="239">
        <v>2363</v>
      </c>
      <c r="H64" s="239">
        <v>0.14000000000000001</v>
      </c>
      <c r="I64" s="238">
        <f t="shared" si="2"/>
        <v>0</v>
      </c>
      <c r="J64" s="239">
        <v>0</v>
      </c>
      <c r="K64" s="238">
        <f t="shared" si="3"/>
        <v>0</v>
      </c>
      <c r="L64" s="239" t="s">
        <v>53</v>
      </c>
      <c r="M64" s="242" t="s">
        <v>57</v>
      </c>
      <c r="N64" s="238"/>
      <c r="O64" s="238"/>
      <c r="P64" s="238"/>
    </row>
    <row r="65" spans="1:16" ht="55" x14ac:dyDescent="0.35">
      <c r="A65" s="241" t="s">
        <v>78</v>
      </c>
      <c r="B65" s="239" t="s">
        <v>60</v>
      </c>
      <c r="C65" s="239" t="s">
        <v>26</v>
      </c>
      <c r="D65" s="239">
        <v>28</v>
      </c>
      <c r="E65" s="239">
        <v>1.6</v>
      </c>
      <c r="F65" s="239">
        <v>1160.5999999999999</v>
      </c>
      <c r="G65" s="239">
        <v>474</v>
      </c>
      <c r="H65" s="239">
        <v>0.09</v>
      </c>
      <c r="I65" s="238">
        <f t="shared" si="2"/>
        <v>68.256</v>
      </c>
      <c r="J65" s="239">
        <v>1.6</v>
      </c>
      <c r="K65" s="238">
        <f t="shared" si="3"/>
        <v>1213.4400000000003</v>
      </c>
      <c r="L65" s="239" t="s">
        <v>53</v>
      </c>
      <c r="M65" s="242" t="s">
        <v>57</v>
      </c>
      <c r="N65" s="238"/>
      <c r="O65" s="238"/>
      <c r="P65" s="238"/>
    </row>
    <row r="66" spans="1:16" ht="55" x14ac:dyDescent="0.35">
      <c r="A66" s="241" t="s">
        <v>59</v>
      </c>
      <c r="B66" s="239" t="s">
        <v>60</v>
      </c>
      <c r="C66" s="239" t="s">
        <v>61</v>
      </c>
      <c r="D66" s="239">
        <v>32</v>
      </c>
      <c r="E66" s="239">
        <v>1.8</v>
      </c>
      <c r="F66" s="239">
        <v>2.2000000000000002</v>
      </c>
      <c r="G66" s="239">
        <v>0</v>
      </c>
      <c r="H66" s="239">
        <v>0</v>
      </c>
      <c r="I66" s="238">
        <f t="shared" si="2"/>
        <v>0</v>
      </c>
      <c r="J66" s="239">
        <v>0</v>
      </c>
      <c r="K66" s="238">
        <f t="shared" si="3"/>
        <v>0</v>
      </c>
      <c r="L66" s="239" t="s">
        <v>53</v>
      </c>
      <c r="M66" s="242" t="s">
        <v>57</v>
      </c>
      <c r="N66" s="238"/>
      <c r="O66" s="238"/>
      <c r="P66" s="238"/>
    </row>
    <row r="67" spans="1:16" ht="55" x14ac:dyDescent="0.35">
      <c r="A67" s="241" t="s">
        <v>70</v>
      </c>
      <c r="B67" s="239" t="s">
        <v>60</v>
      </c>
      <c r="C67" s="239" t="s">
        <v>71</v>
      </c>
      <c r="D67" s="239">
        <v>25</v>
      </c>
      <c r="E67" s="239">
        <v>1.4</v>
      </c>
      <c r="F67" s="239">
        <v>296</v>
      </c>
      <c r="G67" s="239">
        <v>60</v>
      </c>
      <c r="H67" s="239">
        <v>1.02</v>
      </c>
      <c r="I67" s="238">
        <f t="shared" si="2"/>
        <v>85.68</v>
      </c>
      <c r="J67" s="239">
        <v>1.1000000000000001</v>
      </c>
      <c r="K67" s="238">
        <f t="shared" si="3"/>
        <v>92.4</v>
      </c>
      <c r="L67" s="239" t="s">
        <v>53</v>
      </c>
      <c r="M67" s="242" t="s">
        <v>54</v>
      </c>
      <c r="N67" s="238"/>
      <c r="O67" s="238"/>
      <c r="P67" s="238"/>
    </row>
    <row r="68" spans="1:16" ht="55" x14ac:dyDescent="0.35">
      <c r="A68" s="241" t="s">
        <v>78</v>
      </c>
      <c r="B68" s="239" t="s">
        <v>130</v>
      </c>
      <c r="C68" s="239" t="s">
        <v>26</v>
      </c>
      <c r="D68" s="239">
        <v>28</v>
      </c>
      <c r="E68" s="239">
        <v>31</v>
      </c>
      <c r="F68" s="239">
        <v>21844</v>
      </c>
      <c r="G68" s="239">
        <v>474</v>
      </c>
      <c r="H68" s="239">
        <v>0.09</v>
      </c>
      <c r="I68" s="238">
        <f t="shared" si="2"/>
        <v>1322.46</v>
      </c>
      <c r="J68" s="239">
        <v>1.6</v>
      </c>
      <c r="K68" s="238">
        <f t="shared" si="3"/>
        <v>23510.400000000001</v>
      </c>
      <c r="L68" s="239" t="s">
        <v>53</v>
      </c>
      <c r="M68" s="242" t="s">
        <v>57</v>
      </c>
      <c r="N68" s="238"/>
      <c r="O68" s="238"/>
      <c r="P68" s="238"/>
    </row>
    <row r="69" spans="1:16" ht="55" x14ac:dyDescent="0.35">
      <c r="A69" s="241" t="s">
        <v>89</v>
      </c>
      <c r="B69" s="239" t="s">
        <v>130</v>
      </c>
      <c r="C69" s="239" t="s">
        <v>20</v>
      </c>
      <c r="D69" s="239">
        <v>300</v>
      </c>
      <c r="E69" s="239">
        <v>321.5</v>
      </c>
      <c r="F69" s="239">
        <v>225132.79999999999</v>
      </c>
      <c r="G69" s="239">
        <v>470</v>
      </c>
      <c r="H69" s="239">
        <v>0.2</v>
      </c>
      <c r="I69" s="238">
        <f t="shared" si="2"/>
        <v>30221</v>
      </c>
      <c r="J69" s="239">
        <v>1.6</v>
      </c>
      <c r="K69" s="238">
        <f t="shared" si="3"/>
        <v>241768</v>
      </c>
      <c r="L69" s="239" t="s">
        <v>53</v>
      </c>
      <c r="M69" s="242" t="s">
        <v>54</v>
      </c>
      <c r="N69" s="238"/>
      <c r="O69" s="238"/>
      <c r="P69" s="238"/>
    </row>
    <row r="70" spans="1:16" ht="55" x14ac:dyDescent="0.35">
      <c r="A70" s="241" t="s">
        <v>79</v>
      </c>
      <c r="B70" s="239" t="s">
        <v>130</v>
      </c>
      <c r="C70" s="239" t="s">
        <v>15</v>
      </c>
      <c r="D70" s="239">
        <v>15</v>
      </c>
      <c r="E70" s="239">
        <v>12.4</v>
      </c>
      <c r="F70" s="239">
        <v>10979.1</v>
      </c>
      <c r="G70" s="239">
        <v>875</v>
      </c>
      <c r="H70" s="239">
        <v>0.28000000000000003</v>
      </c>
      <c r="I70" s="238">
        <f t="shared" ref="I70:I85" si="4">(G70*E70)*H70</f>
        <v>3038.0000000000005</v>
      </c>
      <c r="J70" s="239">
        <v>0</v>
      </c>
      <c r="K70" s="238">
        <f t="shared" ref="K70:K85" si="5">(G70*E70)*J70</f>
        <v>0</v>
      </c>
      <c r="L70" s="239" t="s">
        <v>53</v>
      </c>
      <c r="M70" s="242" t="s">
        <v>57</v>
      </c>
      <c r="N70" s="238"/>
      <c r="O70" s="238"/>
      <c r="P70" s="238"/>
    </row>
    <row r="71" spans="1:16" ht="55" x14ac:dyDescent="0.35">
      <c r="A71" s="241" t="s">
        <v>59</v>
      </c>
      <c r="B71" s="239" t="s">
        <v>130</v>
      </c>
      <c r="C71" s="239" t="s">
        <v>61</v>
      </c>
      <c r="D71" s="239">
        <v>32</v>
      </c>
      <c r="E71" s="239">
        <v>36</v>
      </c>
      <c r="F71" s="239">
        <v>42.5</v>
      </c>
      <c r="G71" s="239">
        <v>0</v>
      </c>
      <c r="H71" s="239">
        <v>0</v>
      </c>
      <c r="I71" s="238">
        <f t="shared" si="4"/>
        <v>0</v>
      </c>
      <c r="J71" s="239">
        <v>0</v>
      </c>
      <c r="K71" s="238">
        <f t="shared" si="5"/>
        <v>0</v>
      </c>
      <c r="L71" s="239" t="s">
        <v>53</v>
      </c>
      <c r="M71" s="242" t="s">
        <v>57</v>
      </c>
      <c r="N71" s="238"/>
      <c r="O71" s="238"/>
      <c r="P71" s="238"/>
    </row>
    <row r="72" spans="1:16" ht="55" x14ac:dyDescent="0.35">
      <c r="A72" s="241" t="s">
        <v>50</v>
      </c>
      <c r="B72" s="239" t="s">
        <v>130</v>
      </c>
      <c r="C72" s="239" t="s">
        <v>52</v>
      </c>
      <c r="D72" s="239">
        <v>150</v>
      </c>
      <c r="E72" s="239">
        <v>164.5</v>
      </c>
      <c r="F72" s="239">
        <v>82483</v>
      </c>
      <c r="G72" s="239">
        <v>61</v>
      </c>
      <c r="H72" s="239">
        <v>1.5</v>
      </c>
      <c r="I72" s="238">
        <f t="shared" si="4"/>
        <v>15051.75</v>
      </c>
      <c r="J72" s="239">
        <v>0</v>
      </c>
      <c r="K72" s="238">
        <f t="shared" si="5"/>
        <v>0</v>
      </c>
      <c r="L72" s="239" t="s">
        <v>53</v>
      </c>
      <c r="M72" s="242" t="s">
        <v>54</v>
      </c>
      <c r="N72" s="238"/>
      <c r="O72" s="238"/>
      <c r="P72" s="238"/>
    </row>
    <row r="73" spans="1:16" ht="55" x14ac:dyDescent="0.35">
      <c r="A73" s="241" t="s">
        <v>95</v>
      </c>
      <c r="B73" s="239" t="s">
        <v>106</v>
      </c>
      <c r="C73" s="239" t="s">
        <v>30</v>
      </c>
      <c r="D73" s="239">
        <v>440</v>
      </c>
      <c r="E73" s="239">
        <v>31.6</v>
      </c>
      <c r="F73" s="239">
        <v>75898.3</v>
      </c>
      <c r="G73" s="239">
        <v>2375</v>
      </c>
      <c r="H73" s="239">
        <v>0.15</v>
      </c>
      <c r="I73" s="238">
        <f t="shared" si="4"/>
        <v>11257.5</v>
      </c>
      <c r="J73" s="239">
        <v>0</v>
      </c>
      <c r="K73" s="238">
        <f t="shared" si="5"/>
        <v>0</v>
      </c>
      <c r="L73" s="239" t="s">
        <v>53</v>
      </c>
      <c r="M73" s="242" t="s">
        <v>54</v>
      </c>
      <c r="N73" s="238"/>
      <c r="O73" s="238"/>
      <c r="P73" s="238"/>
    </row>
    <row r="74" spans="1:16" ht="55" x14ac:dyDescent="0.35">
      <c r="A74" s="241" t="s">
        <v>95</v>
      </c>
      <c r="B74" s="239" t="s">
        <v>77</v>
      </c>
      <c r="C74" s="239" t="s">
        <v>30</v>
      </c>
      <c r="D74" s="239">
        <v>100</v>
      </c>
      <c r="E74" s="239">
        <v>27.1</v>
      </c>
      <c r="F74" s="239">
        <v>65022.3</v>
      </c>
      <c r="G74" s="239">
        <v>2375</v>
      </c>
      <c r="H74" s="239">
        <v>0.15</v>
      </c>
      <c r="I74" s="238">
        <f t="shared" si="4"/>
        <v>9654.375</v>
      </c>
      <c r="J74" s="239">
        <v>0</v>
      </c>
      <c r="K74" s="238">
        <f t="shared" si="5"/>
        <v>0</v>
      </c>
      <c r="L74" s="239" t="s">
        <v>53</v>
      </c>
      <c r="M74" s="242" t="s">
        <v>54</v>
      </c>
      <c r="N74" s="238"/>
      <c r="O74" s="238"/>
      <c r="P74" s="238"/>
    </row>
    <row r="75" spans="1:16" ht="55" x14ac:dyDescent="0.35">
      <c r="A75" s="241" t="s">
        <v>95</v>
      </c>
      <c r="B75" s="239" t="s">
        <v>77</v>
      </c>
      <c r="C75" s="239" t="s">
        <v>30</v>
      </c>
      <c r="D75" s="239">
        <v>200</v>
      </c>
      <c r="E75" s="239">
        <v>52.9</v>
      </c>
      <c r="F75" s="239">
        <v>126894.5</v>
      </c>
      <c r="G75" s="239">
        <v>2375</v>
      </c>
      <c r="H75" s="239">
        <v>0.15</v>
      </c>
      <c r="I75" s="238">
        <f t="shared" si="4"/>
        <v>18845.625</v>
      </c>
      <c r="J75" s="239">
        <v>0</v>
      </c>
      <c r="K75" s="238">
        <f t="shared" si="5"/>
        <v>0</v>
      </c>
      <c r="L75" s="239" t="s">
        <v>53</v>
      </c>
      <c r="M75" s="242" t="s">
        <v>54</v>
      </c>
      <c r="N75" s="238"/>
      <c r="O75" s="238"/>
      <c r="P75" s="238"/>
    </row>
    <row r="76" spans="1:16" ht="55" x14ac:dyDescent="0.35">
      <c r="A76" s="241" t="s">
        <v>72</v>
      </c>
      <c r="B76" s="239" t="s">
        <v>77</v>
      </c>
      <c r="C76" s="239" t="s">
        <v>74</v>
      </c>
      <c r="D76" s="239">
        <v>140</v>
      </c>
      <c r="E76" s="239">
        <v>37.6</v>
      </c>
      <c r="F76" s="239">
        <v>1051.9000000000001</v>
      </c>
      <c r="G76" s="239">
        <v>16</v>
      </c>
      <c r="H76" s="239">
        <v>3.5</v>
      </c>
      <c r="I76" s="238">
        <f t="shared" si="4"/>
        <v>2105.6</v>
      </c>
      <c r="J76" s="239">
        <v>0</v>
      </c>
      <c r="K76" s="238">
        <f t="shared" si="5"/>
        <v>0</v>
      </c>
      <c r="L76" s="239" t="s">
        <v>53</v>
      </c>
      <c r="M76" s="242" t="s">
        <v>54</v>
      </c>
      <c r="N76" s="238"/>
      <c r="O76" s="238"/>
      <c r="P76" s="238"/>
    </row>
    <row r="77" spans="1:16" ht="55" x14ac:dyDescent="0.35">
      <c r="A77" s="241" t="s">
        <v>95</v>
      </c>
      <c r="B77" s="239" t="s">
        <v>107</v>
      </c>
      <c r="C77" s="239" t="s">
        <v>31</v>
      </c>
      <c r="D77" s="239">
        <v>270</v>
      </c>
      <c r="E77" s="239">
        <v>89</v>
      </c>
      <c r="F77" s="239">
        <v>115655.8</v>
      </c>
      <c r="G77" s="239">
        <v>1410</v>
      </c>
      <c r="H77" s="239">
        <v>0.17</v>
      </c>
      <c r="I77" s="238">
        <f t="shared" si="4"/>
        <v>21333.300000000003</v>
      </c>
      <c r="J77" s="239">
        <v>0</v>
      </c>
      <c r="K77" s="238">
        <f t="shared" si="5"/>
        <v>0</v>
      </c>
      <c r="L77" s="239" t="s">
        <v>53</v>
      </c>
      <c r="M77" s="242" t="s">
        <v>54</v>
      </c>
      <c r="N77" s="238"/>
      <c r="O77" s="238"/>
      <c r="P77" s="238"/>
    </row>
    <row r="78" spans="1:16" ht="82.5" x14ac:dyDescent="0.35">
      <c r="A78" s="241" t="s">
        <v>72</v>
      </c>
      <c r="B78" s="239" t="s">
        <v>73</v>
      </c>
      <c r="C78" s="239" t="s">
        <v>74</v>
      </c>
      <c r="D78" s="239">
        <v>250</v>
      </c>
      <c r="E78" s="239">
        <v>13.9</v>
      </c>
      <c r="F78" s="239">
        <v>388.1</v>
      </c>
      <c r="G78" s="239">
        <v>16</v>
      </c>
      <c r="H78" s="239">
        <v>3.5</v>
      </c>
      <c r="I78" s="238">
        <f t="shared" si="4"/>
        <v>778.4</v>
      </c>
      <c r="J78" s="239">
        <v>0</v>
      </c>
      <c r="K78" s="238">
        <f t="shared" si="5"/>
        <v>0</v>
      </c>
      <c r="L78" s="239" t="s">
        <v>53</v>
      </c>
      <c r="M78" s="242" t="s">
        <v>54</v>
      </c>
      <c r="N78" s="238"/>
      <c r="O78" s="238"/>
      <c r="P78" s="238"/>
    </row>
    <row r="79" spans="1:16" ht="82.5" x14ac:dyDescent="0.35">
      <c r="A79" s="241" t="s">
        <v>55</v>
      </c>
      <c r="B79" s="239" t="s">
        <v>73</v>
      </c>
      <c r="C79" s="239" t="s">
        <v>56</v>
      </c>
      <c r="D79" s="239">
        <v>150</v>
      </c>
      <c r="E79" s="239">
        <v>8.3000000000000007</v>
      </c>
      <c r="F79" s="239">
        <v>19539.400000000001</v>
      </c>
      <c r="G79" s="239">
        <v>2363</v>
      </c>
      <c r="H79" s="239">
        <v>0.14000000000000001</v>
      </c>
      <c r="I79" s="238">
        <f t="shared" si="4"/>
        <v>2745.8060000000005</v>
      </c>
      <c r="J79" s="239">
        <v>0</v>
      </c>
      <c r="K79" s="238">
        <f t="shared" si="5"/>
        <v>0</v>
      </c>
      <c r="L79" s="239" t="s">
        <v>53</v>
      </c>
      <c r="M79" s="242" t="s">
        <v>57</v>
      </c>
      <c r="N79" s="238"/>
      <c r="O79" s="238"/>
      <c r="P79" s="238"/>
    </row>
    <row r="80" spans="1:16" ht="82.5" x14ac:dyDescent="0.35">
      <c r="A80" s="241" t="s">
        <v>72</v>
      </c>
      <c r="B80" s="239" t="s">
        <v>84</v>
      </c>
      <c r="C80" s="239" t="s">
        <v>74</v>
      </c>
      <c r="D80" s="239">
        <v>300</v>
      </c>
      <c r="E80" s="239">
        <v>104.5</v>
      </c>
      <c r="F80" s="239">
        <v>2917.9</v>
      </c>
      <c r="G80" s="239">
        <v>16</v>
      </c>
      <c r="H80" s="239">
        <v>3.5</v>
      </c>
      <c r="I80" s="238">
        <f t="shared" si="4"/>
        <v>5852</v>
      </c>
      <c r="J80" s="239">
        <v>0</v>
      </c>
      <c r="K80" s="238">
        <f t="shared" si="5"/>
        <v>0</v>
      </c>
      <c r="L80" s="239" t="s">
        <v>53</v>
      </c>
      <c r="M80" s="242" t="s">
        <v>54</v>
      </c>
      <c r="N80" s="238"/>
      <c r="O80" s="238"/>
      <c r="P80" s="238"/>
    </row>
    <row r="81" spans="1:16" ht="82.5" x14ac:dyDescent="0.35">
      <c r="A81" s="241" t="s">
        <v>55</v>
      </c>
      <c r="B81" s="239" t="s">
        <v>84</v>
      </c>
      <c r="C81" s="239" t="s">
        <v>56</v>
      </c>
      <c r="D81" s="239">
        <v>100</v>
      </c>
      <c r="E81" s="239">
        <v>34.700000000000003</v>
      </c>
      <c r="F81" s="239">
        <v>81845.100000000006</v>
      </c>
      <c r="G81" s="239">
        <v>2363</v>
      </c>
      <c r="H81" s="239">
        <v>0.14000000000000001</v>
      </c>
      <c r="I81" s="238">
        <f t="shared" si="4"/>
        <v>11479.454000000002</v>
      </c>
      <c r="J81" s="239">
        <v>0</v>
      </c>
      <c r="K81" s="238">
        <f t="shared" si="5"/>
        <v>0</v>
      </c>
      <c r="L81" s="239" t="s">
        <v>53</v>
      </c>
      <c r="M81" s="242" t="s">
        <v>57</v>
      </c>
      <c r="N81" s="238"/>
      <c r="O81" s="238"/>
      <c r="P81" s="238"/>
    </row>
    <row r="82" spans="1:16" ht="55" x14ac:dyDescent="0.35">
      <c r="A82" s="241" t="s">
        <v>58</v>
      </c>
      <c r="B82" s="239" t="s">
        <v>82</v>
      </c>
      <c r="C82" s="239" t="s">
        <v>32</v>
      </c>
      <c r="D82" s="239">
        <v>540</v>
      </c>
      <c r="E82" s="239">
        <v>17.600000000000001</v>
      </c>
      <c r="F82" s="239">
        <v>42896.4</v>
      </c>
      <c r="G82" s="239">
        <v>2400</v>
      </c>
      <c r="H82" s="239">
        <v>0.19</v>
      </c>
      <c r="I82" s="238">
        <f t="shared" si="4"/>
        <v>8025.6</v>
      </c>
      <c r="J82" s="239">
        <v>0</v>
      </c>
      <c r="K82" s="238">
        <f t="shared" si="5"/>
        <v>0</v>
      </c>
      <c r="L82" s="239" t="s">
        <v>53</v>
      </c>
      <c r="M82" s="242" t="s">
        <v>54</v>
      </c>
      <c r="N82" s="238"/>
      <c r="O82" s="238"/>
      <c r="P82" s="238"/>
    </row>
    <row r="83" spans="1:16" ht="55" x14ac:dyDescent="0.35">
      <c r="A83" s="241" t="s">
        <v>58</v>
      </c>
      <c r="B83" s="239" t="s">
        <v>82</v>
      </c>
      <c r="C83" s="239" t="s">
        <v>32</v>
      </c>
      <c r="D83" s="239">
        <v>740</v>
      </c>
      <c r="E83" s="239">
        <v>20.399999999999999</v>
      </c>
      <c r="F83" s="239">
        <v>49174.7</v>
      </c>
      <c r="G83" s="239">
        <v>2400</v>
      </c>
      <c r="H83" s="239">
        <v>0.19</v>
      </c>
      <c r="I83" s="238">
        <f t="shared" si="4"/>
        <v>9302.4</v>
      </c>
      <c r="J83" s="239">
        <v>0</v>
      </c>
      <c r="K83" s="238">
        <f t="shared" si="5"/>
        <v>0</v>
      </c>
      <c r="L83" s="239" t="s">
        <v>53</v>
      </c>
      <c r="M83" s="242" t="s">
        <v>54</v>
      </c>
      <c r="N83" s="238"/>
      <c r="O83" s="238"/>
      <c r="P83" s="238"/>
    </row>
    <row r="84" spans="1:16" ht="55" x14ac:dyDescent="0.35">
      <c r="A84" s="241" t="s">
        <v>89</v>
      </c>
      <c r="B84" s="239" t="s">
        <v>82</v>
      </c>
      <c r="C84" s="239" t="s">
        <v>24</v>
      </c>
      <c r="D84" s="239">
        <v>51</v>
      </c>
      <c r="E84" s="239">
        <v>96.8</v>
      </c>
      <c r="F84" s="239">
        <v>61423.6</v>
      </c>
      <c r="G84" s="239">
        <v>470</v>
      </c>
      <c r="H84" s="239">
        <v>0.36</v>
      </c>
      <c r="I84" s="238">
        <f t="shared" si="4"/>
        <v>16378.56</v>
      </c>
      <c r="J84" s="239">
        <v>1.6</v>
      </c>
      <c r="K84" s="238">
        <f t="shared" si="5"/>
        <v>72793.600000000006</v>
      </c>
      <c r="L84" s="239" t="s">
        <v>53</v>
      </c>
      <c r="M84" s="242" t="s">
        <v>54</v>
      </c>
      <c r="N84" s="238"/>
      <c r="O84" s="238"/>
      <c r="P84" s="238"/>
    </row>
    <row r="85" spans="1:16" ht="55" x14ac:dyDescent="0.35">
      <c r="A85" s="241" t="s">
        <v>81</v>
      </c>
      <c r="B85" s="239" t="s">
        <v>82</v>
      </c>
      <c r="C85" s="239" t="s">
        <v>18</v>
      </c>
      <c r="D85" s="239">
        <v>5</v>
      </c>
      <c r="E85" s="239">
        <v>0</v>
      </c>
      <c r="F85" s="239">
        <v>1523.5</v>
      </c>
      <c r="G85" s="239">
        <v>1620</v>
      </c>
      <c r="H85" s="239">
        <v>0.16</v>
      </c>
      <c r="I85" s="238">
        <f t="shared" si="4"/>
        <v>0</v>
      </c>
      <c r="J85" s="239">
        <v>0</v>
      </c>
      <c r="K85" s="238">
        <f t="shared" si="5"/>
        <v>0</v>
      </c>
      <c r="L85" s="239" t="s">
        <v>53</v>
      </c>
      <c r="M85" s="242" t="s">
        <v>83</v>
      </c>
      <c r="N85" s="238"/>
      <c r="O85" s="238"/>
      <c r="P85" s="238"/>
    </row>
    <row r="86" spans="1:16" ht="27.5" x14ac:dyDescent="0.35">
      <c r="A86" s="239" t="s">
        <v>109</v>
      </c>
      <c r="B86" s="239" t="s">
        <v>109</v>
      </c>
      <c r="C86" s="239" t="s">
        <v>109</v>
      </c>
      <c r="D86" s="239" t="s">
        <v>109</v>
      </c>
      <c r="E86" s="239">
        <v>4378</v>
      </c>
      <c r="F86" s="239" t="s">
        <v>109</v>
      </c>
      <c r="G86" s="239" t="s">
        <v>109</v>
      </c>
      <c r="H86" s="239">
        <v>4378</v>
      </c>
      <c r="I86" s="238">
        <f>SUM(I6:I85)</f>
        <v>384503.21299999999</v>
      </c>
      <c r="J86" s="238"/>
      <c r="K86" s="238">
        <f t="shared" ref="K86" si="6">SUM(K6:K85)</f>
        <v>654635.76</v>
      </c>
      <c r="L86" s="239" t="s">
        <v>109</v>
      </c>
      <c r="M86" s="239" t="s">
        <v>109</v>
      </c>
      <c r="N86" s="238"/>
      <c r="O86" s="238"/>
      <c r="P86" s="238"/>
    </row>
    <row r="87" spans="1:16" ht="24.5" x14ac:dyDescent="0.35">
      <c r="A87" s="238"/>
      <c r="B87" s="238"/>
      <c r="C87" s="238"/>
      <c r="D87" s="238"/>
      <c r="E87" s="238"/>
      <c r="F87" s="238"/>
      <c r="G87" s="238"/>
      <c r="H87" s="238"/>
      <c r="I87" s="238"/>
      <c r="J87" s="238"/>
      <c r="K87" s="238"/>
      <c r="L87" s="238"/>
      <c r="M87" s="238"/>
      <c r="N87" s="238"/>
      <c r="O87" s="238"/>
      <c r="P87" s="238"/>
    </row>
    <row r="88" spans="1:16" ht="24.5" x14ac:dyDescent="0.35">
      <c r="A88" s="238"/>
      <c r="B88" s="238"/>
      <c r="C88" s="238"/>
      <c r="D88" s="238"/>
      <c r="E88" s="238"/>
      <c r="F88" s="238"/>
      <c r="G88" s="238"/>
      <c r="H88" s="238"/>
      <c r="I88" s="238"/>
      <c r="J88" s="243">
        <f>I86-K86</f>
        <v>-270132.54700000002</v>
      </c>
      <c r="K88" s="238" t="s">
        <v>44</v>
      </c>
      <c r="L88" s="238"/>
      <c r="M88" s="238"/>
      <c r="N88" s="238"/>
      <c r="O88" s="238"/>
      <c r="P88" s="238"/>
    </row>
    <row r="89" spans="1:16" ht="24.5" x14ac:dyDescent="0.35">
      <c r="A89" s="238"/>
      <c r="B89" s="238"/>
      <c r="C89" s="238"/>
      <c r="D89" s="238"/>
      <c r="E89" s="238"/>
      <c r="F89" s="238"/>
      <c r="G89" s="238"/>
      <c r="H89" s="238"/>
      <c r="I89" s="238"/>
      <c r="J89" s="243">
        <f>J88/1000</f>
        <v>-270.13254700000005</v>
      </c>
      <c r="K89" s="238" t="s">
        <v>183</v>
      </c>
      <c r="L89" s="238"/>
      <c r="M89" s="238"/>
      <c r="N89" s="238"/>
      <c r="O89" s="238"/>
      <c r="P89" s="238"/>
    </row>
    <row r="90" spans="1:16" ht="24.5" x14ac:dyDescent="0.35">
      <c r="A90" s="238"/>
      <c r="B90" s="238"/>
      <c r="C90" s="238"/>
      <c r="D90" s="238"/>
      <c r="E90" s="238"/>
      <c r="F90" s="238"/>
      <c r="G90" s="238"/>
      <c r="H90" s="238"/>
      <c r="I90" s="238"/>
      <c r="J90" s="238"/>
      <c r="K90" s="238"/>
      <c r="L90" s="238"/>
      <c r="M90" s="238"/>
    </row>
    <row r="99" spans="1:15" ht="137.5" x14ac:dyDescent="0.35">
      <c r="C99" s="239" t="s">
        <v>36</v>
      </c>
      <c r="D99" s="239" t="s">
        <v>37</v>
      </c>
      <c r="E99" s="239" t="s">
        <v>38</v>
      </c>
      <c r="F99" s="239" t="s">
        <v>39</v>
      </c>
      <c r="G99" s="239" t="s">
        <v>40</v>
      </c>
      <c r="H99" s="239" t="s">
        <v>41</v>
      </c>
      <c r="I99" s="239" t="s">
        <v>42</v>
      </c>
      <c r="J99" s="239" t="s">
        <v>43</v>
      </c>
      <c r="K99" s="238"/>
      <c r="L99" s="239" t="s">
        <v>45</v>
      </c>
      <c r="M99" s="238"/>
      <c r="N99" s="239" t="s">
        <v>46</v>
      </c>
      <c r="O99" s="239" t="s">
        <v>47</v>
      </c>
    </row>
    <row r="100" spans="1:15" ht="137.5" x14ac:dyDescent="0.35">
      <c r="A100" s="239"/>
      <c r="B100" s="239"/>
      <c r="C100" s="239" t="s">
        <v>50</v>
      </c>
      <c r="D100" s="239" t="s">
        <v>130</v>
      </c>
      <c r="E100" s="239" t="s">
        <v>52</v>
      </c>
      <c r="F100" s="239">
        <v>150</v>
      </c>
      <c r="G100" s="239">
        <v>164.5</v>
      </c>
      <c r="H100" s="239">
        <v>82483</v>
      </c>
      <c r="I100" s="239">
        <v>61</v>
      </c>
      <c r="J100" s="239">
        <v>1.5</v>
      </c>
      <c r="K100" s="244">
        <f>(I100*G100)*J100</f>
        <v>15051.75</v>
      </c>
      <c r="L100" s="239">
        <v>0</v>
      </c>
      <c r="M100" s="244">
        <f>(I100*G100)*L100</f>
        <v>0</v>
      </c>
      <c r="N100" s="239" t="s">
        <v>53</v>
      </c>
      <c r="O100" s="239" t="s">
        <v>54</v>
      </c>
    </row>
    <row r="101" spans="1:15" ht="137.5" x14ac:dyDescent="0.35">
      <c r="A101" s="239"/>
      <c r="B101" s="239"/>
      <c r="C101" s="239" t="s">
        <v>89</v>
      </c>
      <c r="D101" s="239" t="s">
        <v>130</v>
      </c>
      <c r="E101" s="239" t="s">
        <v>20</v>
      </c>
      <c r="F101" s="239">
        <v>300</v>
      </c>
      <c r="G101" s="239">
        <v>321.5</v>
      </c>
      <c r="H101" s="239">
        <v>225132.79999999999</v>
      </c>
      <c r="I101" s="239">
        <v>470</v>
      </c>
      <c r="J101" s="239">
        <v>0.2</v>
      </c>
      <c r="K101" s="244">
        <f>(I101*G101)*J101</f>
        <v>30221</v>
      </c>
      <c r="L101" s="239">
        <v>1.6</v>
      </c>
      <c r="M101" s="244">
        <f>(I101*G101)*L101</f>
        <v>241768</v>
      </c>
      <c r="N101" s="239" t="s">
        <v>53</v>
      </c>
      <c r="O101" s="239" t="s">
        <v>54</v>
      </c>
    </row>
    <row r="102" spans="1:15" ht="137.5" x14ac:dyDescent="0.35">
      <c r="A102" s="239"/>
      <c r="B102" s="239"/>
      <c r="C102" s="239" t="s">
        <v>59</v>
      </c>
      <c r="D102" s="239" t="s">
        <v>130</v>
      </c>
      <c r="E102" s="239" t="s">
        <v>61</v>
      </c>
      <c r="F102" s="239">
        <v>32</v>
      </c>
      <c r="G102" s="239">
        <v>36</v>
      </c>
      <c r="H102" s="239">
        <v>42.5</v>
      </c>
      <c r="I102" s="239">
        <v>0</v>
      </c>
      <c r="J102" s="239">
        <v>0</v>
      </c>
      <c r="K102" s="244">
        <f>(I102*G102)*J102</f>
        <v>0</v>
      </c>
      <c r="L102" s="239">
        <v>0</v>
      </c>
      <c r="M102" s="244">
        <f>(I102*G102)*L102</f>
        <v>0</v>
      </c>
      <c r="N102" s="239" t="s">
        <v>53</v>
      </c>
      <c r="O102" s="239" t="s">
        <v>57</v>
      </c>
    </row>
    <row r="103" spans="1:15" ht="137.5" x14ac:dyDescent="0.35">
      <c r="A103" s="239"/>
      <c r="B103" s="239"/>
      <c r="C103" s="239" t="s">
        <v>79</v>
      </c>
      <c r="D103" s="239" t="s">
        <v>130</v>
      </c>
      <c r="E103" s="239" t="s">
        <v>15</v>
      </c>
      <c r="F103" s="239">
        <v>15</v>
      </c>
      <c r="G103" s="239">
        <v>12.4</v>
      </c>
      <c r="H103" s="239">
        <v>10979.1</v>
      </c>
      <c r="I103" s="239">
        <v>875</v>
      </c>
      <c r="J103" s="239">
        <v>0.28000000000000003</v>
      </c>
      <c r="K103" s="244">
        <f>(I103*G103)*J103</f>
        <v>3038.0000000000005</v>
      </c>
      <c r="L103" s="239">
        <v>0</v>
      </c>
      <c r="M103" s="244">
        <f>(I103*G103)*L103</f>
        <v>0</v>
      </c>
      <c r="N103" s="239" t="s">
        <v>53</v>
      </c>
      <c r="O103" s="239" t="s">
        <v>57</v>
      </c>
    </row>
    <row r="104" spans="1:15" ht="137.5" x14ac:dyDescent="0.35">
      <c r="A104" s="239"/>
      <c r="B104" s="239"/>
      <c r="C104" s="239" t="s">
        <v>78</v>
      </c>
      <c r="D104" s="239" t="s">
        <v>130</v>
      </c>
      <c r="E104" s="239" t="s">
        <v>26</v>
      </c>
      <c r="F104" s="239">
        <v>28</v>
      </c>
      <c r="G104" s="239">
        <v>31</v>
      </c>
      <c r="H104" s="239">
        <v>21844</v>
      </c>
      <c r="I104" s="239">
        <v>474</v>
      </c>
      <c r="J104" s="239">
        <v>0.09</v>
      </c>
      <c r="K104" s="244">
        <f>(I104*G104)*J104</f>
        <v>1322.46</v>
      </c>
      <c r="L104" s="239">
        <v>1.6</v>
      </c>
      <c r="M104" s="244">
        <f>(I104*G104)*L104</f>
        <v>23510.400000000001</v>
      </c>
      <c r="N104" s="239" t="s">
        <v>53</v>
      </c>
      <c r="O104" s="239" t="s">
        <v>57</v>
      </c>
    </row>
  </sheetData>
  <sheetProtection algorithmName="SHA-512" hashValue="Gxr4SOW5lsTK+yK6tqnnbPWWs1C6ISOwu3ASCuprVixhusHKgViFP9CbLBPCpfpy6hMTuFpqMU3roy2sRjv+xw==" saltValue="EIEhLZW0fAtaUppq/QcM9Q==" spinCount="100000" sheet="1" objects="1" scenarios="1"/>
  <mergeCells count="1">
    <mergeCell ref="A3:K3"/>
  </mergeCells>
  <pageMargins left="0.7" right="0.7" top="0.75" bottom="0.75" header="0.3" footer="0.3"/>
  <pageSetup paperSize="9" orientation="portrait" verticalDpi="0" r:id="rId1"/>
  <tableParts count="1">
    <tablePart r:id="rId2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891CC8-FFEA-4C37-8359-7EBCB221274E}">
  <sheetPr codeName="Taul7"/>
  <dimension ref="A1:O178"/>
  <sheetViews>
    <sheetView topLeftCell="A139" zoomScale="40" zoomScaleNormal="40" workbookViewId="0">
      <selection sqref="A1:XFD1048576"/>
    </sheetView>
  </sheetViews>
  <sheetFormatPr defaultRowHeight="14.5" x14ac:dyDescent="0.35"/>
  <cols>
    <col min="1" max="1" width="18" style="49" customWidth="1"/>
    <col min="2" max="2" width="24" style="49" customWidth="1"/>
    <col min="3" max="3" width="19.453125" style="49" customWidth="1"/>
    <col min="4" max="4" width="26.1796875" style="49" customWidth="1"/>
    <col min="5" max="5" width="23.26953125" style="49" customWidth="1"/>
    <col min="6" max="6" width="22.54296875" style="49" customWidth="1"/>
    <col min="7" max="7" width="27.81640625" style="49" customWidth="1"/>
    <col min="8" max="8" width="26.81640625" style="49" customWidth="1"/>
    <col min="9" max="9" width="19.26953125" style="49" customWidth="1"/>
    <col min="10" max="10" width="20.54296875" style="49" customWidth="1"/>
    <col min="11" max="11" width="23.26953125" style="49" customWidth="1"/>
    <col min="12" max="12" width="18.7265625" style="49" customWidth="1"/>
    <col min="13" max="13" width="25.6328125" style="49" customWidth="1"/>
    <col min="14" max="16384" width="8.7265625" style="49"/>
  </cols>
  <sheetData>
    <row r="1" spans="1:13" ht="16.5" x14ac:dyDescent="0.45">
      <c r="A1" s="201" t="s">
        <v>348</v>
      </c>
      <c r="B1" s="201"/>
      <c r="C1" s="201"/>
      <c r="D1" s="201"/>
      <c r="E1" s="201"/>
      <c r="F1" s="201"/>
      <c r="G1" s="201"/>
      <c r="H1" s="201"/>
      <c r="I1" s="201"/>
      <c r="J1" s="201"/>
      <c r="K1" s="201"/>
    </row>
    <row r="2" spans="1:13" ht="16.5" x14ac:dyDescent="0.45">
      <c r="A2" s="201"/>
      <c r="B2" s="201"/>
      <c r="C2" s="201"/>
      <c r="D2" s="201"/>
      <c r="E2" s="201"/>
      <c r="F2" s="201"/>
      <c r="G2" s="201"/>
      <c r="H2" s="201"/>
      <c r="I2" s="201"/>
      <c r="J2" s="201"/>
      <c r="K2" s="201"/>
    </row>
    <row r="3" spans="1:13" ht="27.5" x14ac:dyDescent="0.35">
      <c r="A3" s="267" t="s">
        <v>270</v>
      </c>
      <c r="B3" s="267"/>
      <c r="C3" s="267"/>
      <c r="D3" s="267"/>
      <c r="E3" s="267"/>
      <c r="F3" s="267"/>
      <c r="G3" s="267"/>
      <c r="H3" s="267"/>
      <c r="I3" s="267"/>
      <c r="J3" s="267"/>
      <c r="K3" s="267"/>
    </row>
    <row r="4" spans="1:13" ht="82.5" x14ac:dyDescent="0.35">
      <c r="A4" s="203" t="s">
        <v>36</v>
      </c>
      <c r="B4" s="203" t="s">
        <v>37</v>
      </c>
      <c r="C4" s="203" t="s">
        <v>38</v>
      </c>
      <c r="D4" s="203" t="s">
        <v>39</v>
      </c>
      <c r="E4" s="203" t="s">
        <v>40</v>
      </c>
      <c r="F4" s="203" t="s">
        <v>41</v>
      </c>
      <c r="G4" s="203" t="s">
        <v>42</v>
      </c>
      <c r="H4" s="203" t="s">
        <v>43</v>
      </c>
      <c r="I4" s="235" t="s">
        <v>44</v>
      </c>
      <c r="J4" s="203" t="s">
        <v>45</v>
      </c>
      <c r="K4" s="235" t="s">
        <v>44</v>
      </c>
      <c r="L4" s="203" t="s">
        <v>46</v>
      </c>
      <c r="M4" s="203" t="s">
        <v>47</v>
      </c>
    </row>
    <row r="5" spans="1:13" ht="55" x14ac:dyDescent="0.55000000000000004">
      <c r="A5" s="206" t="s">
        <v>48</v>
      </c>
      <c r="B5" s="205" t="s">
        <v>49</v>
      </c>
      <c r="C5" s="205" t="s">
        <v>38</v>
      </c>
      <c r="D5" s="205" t="s">
        <v>265</v>
      </c>
      <c r="E5" s="205" t="s">
        <v>264</v>
      </c>
      <c r="F5" s="205" t="s">
        <v>113</v>
      </c>
      <c r="G5" s="205" t="s">
        <v>114</v>
      </c>
      <c r="H5" s="205" t="s">
        <v>115</v>
      </c>
      <c r="I5" s="202" t="s">
        <v>44</v>
      </c>
      <c r="J5" s="205" t="s">
        <v>269</v>
      </c>
      <c r="K5" s="202" t="s">
        <v>117</v>
      </c>
      <c r="L5" s="205" t="s">
        <v>152</v>
      </c>
      <c r="M5" s="207" t="s">
        <v>263</v>
      </c>
    </row>
    <row r="6" spans="1:13" ht="82.5" x14ac:dyDescent="0.55000000000000004">
      <c r="A6" s="206" t="s">
        <v>75</v>
      </c>
      <c r="B6" s="205" t="s">
        <v>92</v>
      </c>
      <c r="C6" s="205" t="s">
        <v>76</v>
      </c>
      <c r="D6" s="205">
        <v>450</v>
      </c>
      <c r="E6" s="205">
        <v>194.7</v>
      </c>
      <c r="F6" s="205">
        <v>7787.1</v>
      </c>
      <c r="G6" s="205">
        <v>33</v>
      </c>
      <c r="H6" s="205">
        <v>1.5</v>
      </c>
      <c r="I6" s="202">
        <f t="shared" ref="I6:I37" si="0">(G6*E6)*H6</f>
        <v>9637.65</v>
      </c>
      <c r="J6" s="205">
        <v>0</v>
      </c>
      <c r="K6" s="202">
        <f t="shared" ref="K6:K37" si="1">(G6*E6)*J6</f>
        <v>0</v>
      </c>
      <c r="L6" s="205" t="s">
        <v>53</v>
      </c>
      <c r="M6" s="207" t="s">
        <v>57</v>
      </c>
    </row>
    <row r="7" spans="1:13" ht="82.5" x14ac:dyDescent="0.55000000000000004">
      <c r="A7" s="206" t="s">
        <v>89</v>
      </c>
      <c r="B7" s="205" t="s">
        <v>92</v>
      </c>
      <c r="C7" s="205" t="s">
        <v>20</v>
      </c>
      <c r="D7" s="205">
        <v>80</v>
      </c>
      <c r="E7" s="205">
        <v>34.6</v>
      </c>
      <c r="F7" s="205">
        <v>24226.7</v>
      </c>
      <c r="G7" s="205">
        <v>470</v>
      </c>
      <c r="H7" s="205">
        <v>0.2</v>
      </c>
      <c r="I7" s="202">
        <f t="shared" si="0"/>
        <v>3252.4</v>
      </c>
      <c r="J7" s="205">
        <v>1.6</v>
      </c>
      <c r="K7" s="202">
        <f t="shared" si="1"/>
        <v>26019.200000000001</v>
      </c>
      <c r="L7" s="205" t="s">
        <v>53</v>
      </c>
      <c r="M7" s="207" t="s">
        <v>54</v>
      </c>
    </row>
    <row r="8" spans="1:13" ht="110" x14ac:dyDescent="0.55000000000000004">
      <c r="A8" s="206" t="s">
        <v>98</v>
      </c>
      <c r="B8" s="205" t="s">
        <v>99</v>
      </c>
      <c r="C8" s="205" t="s">
        <v>100</v>
      </c>
      <c r="D8" s="205">
        <v>125</v>
      </c>
      <c r="E8" s="205">
        <v>11.4</v>
      </c>
      <c r="F8" s="205">
        <v>16007.9</v>
      </c>
      <c r="G8" s="205">
        <v>644</v>
      </c>
      <c r="H8" s="205">
        <v>0.26</v>
      </c>
      <c r="I8" s="202">
        <f t="shared" si="0"/>
        <v>1908.8160000000003</v>
      </c>
      <c r="J8" s="205">
        <v>0</v>
      </c>
      <c r="K8" s="202">
        <f t="shared" si="1"/>
        <v>0</v>
      </c>
      <c r="L8" s="205" t="s">
        <v>53</v>
      </c>
      <c r="M8" s="207" t="s">
        <v>57</v>
      </c>
    </row>
    <row r="9" spans="1:13" ht="110" x14ac:dyDescent="0.55000000000000004">
      <c r="A9" s="206" t="s">
        <v>58</v>
      </c>
      <c r="B9" s="205" t="s">
        <v>108</v>
      </c>
      <c r="C9" s="205" t="s">
        <v>32</v>
      </c>
      <c r="D9" s="205">
        <v>200</v>
      </c>
      <c r="E9" s="205">
        <v>64.2</v>
      </c>
      <c r="F9" s="205">
        <v>153606.1</v>
      </c>
      <c r="G9" s="205">
        <v>2400</v>
      </c>
      <c r="H9" s="205">
        <v>0.19</v>
      </c>
      <c r="I9" s="202">
        <f t="shared" si="0"/>
        <v>29275.200000000001</v>
      </c>
      <c r="J9" s="205">
        <v>0</v>
      </c>
      <c r="K9" s="202">
        <f t="shared" si="1"/>
        <v>0</v>
      </c>
      <c r="L9" s="205" t="s">
        <v>53</v>
      </c>
      <c r="M9" s="207" t="s">
        <v>57</v>
      </c>
    </row>
    <row r="10" spans="1:13" ht="110" x14ac:dyDescent="0.55000000000000004">
      <c r="A10" s="206" t="s">
        <v>58</v>
      </c>
      <c r="B10" s="205" t="s">
        <v>103</v>
      </c>
      <c r="C10" s="205" t="s">
        <v>32</v>
      </c>
      <c r="D10" s="205">
        <v>300</v>
      </c>
      <c r="E10" s="205">
        <v>15</v>
      </c>
      <c r="F10" s="205">
        <v>36148.300000000003</v>
      </c>
      <c r="G10" s="205">
        <v>2400</v>
      </c>
      <c r="H10" s="205">
        <v>0.19</v>
      </c>
      <c r="I10" s="202">
        <f t="shared" si="0"/>
        <v>6840</v>
      </c>
      <c r="J10" s="205">
        <v>0</v>
      </c>
      <c r="K10" s="202">
        <f t="shared" si="1"/>
        <v>0</v>
      </c>
      <c r="L10" s="205" t="s">
        <v>53</v>
      </c>
      <c r="M10" s="207" t="s">
        <v>54</v>
      </c>
    </row>
    <row r="11" spans="1:13" ht="110" x14ac:dyDescent="0.55000000000000004">
      <c r="A11" s="206" t="s">
        <v>58</v>
      </c>
      <c r="B11" s="205" t="s">
        <v>105</v>
      </c>
      <c r="C11" s="205" t="s">
        <v>32</v>
      </c>
      <c r="D11" s="205">
        <v>300</v>
      </c>
      <c r="E11" s="205">
        <v>24</v>
      </c>
      <c r="F11" s="205">
        <v>57635.5</v>
      </c>
      <c r="G11" s="205">
        <v>2400</v>
      </c>
      <c r="H11" s="205">
        <v>0.19</v>
      </c>
      <c r="I11" s="202">
        <f t="shared" si="0"/>
        <v>10944</v>
      </c>
      <c r="J11" s="205">
        <v>0</v>
      </c>
      <c r="K11" s="202">
        <f t="shared" si="1"/>
        <v>0</v>
      </c>
      <c r="L11" s="205" t="s">
        <v>53</v>
      </c>
      <c r="M11" s="207" t="s">
        <v>57</v>
      </c>
    </row>
    <row r="12" spans="1:13" ht="82.5" x14ac:dyDescent="0.55000000000000004">
      <c r="A12" s="206" t="s">
        <v>50</v>
      </c>
      <c r="B12" s="205" t="s">
        <v>97</v>
      </c>
      <c r="C12" s="205" t="s">
        <v>52</v>
      </c>
      <c r="D12" s="205">
        <v>66</v>
      </c>
      <c r="E12" s="205">
        <v>71.5</v>
      </c>
      <c r="F12" s="205">
        <v>35262.9</v>
      </c>
      <c r="G12" s="205">
        <v>61</v>
      </c>
      <c r="H12" s="205">
        <v>1.5</v>
      </c>
      <c r="I12" s="202">
        <f t="shared" si="0"/>
        <v>6542.25</v>
      </c>
      <c r="J12" s="205">
        <v>0</v>
      </c>
      <c r="K12" s="202">
        <f t="shared" si="1"/>
        <v>0</v>
      </c>
      <c r="L12" s="205" t="s">
        <v>53</v>
      </c>
      <c r="M12" s="207" t="s">
        <v>54</v>
      </c>
    </row>
    <row r="13" spans="1:13" ht="55" x14ac:dyDescent="0.55000000000000004">
      <c r="A13" s="206" t="s">
        <v>79</v>
      </c>
      <c r="B13" s="205" t="s">
        <v>97</v>
      </c>
      <c r="C13" s="205" t="s">
        <v>15</v>
      </c>
      <c r="D13" s="205">
        <v>13</v>
      </c>
      <c r="E13" s="205">
        <v>16.5</v>
      </c>
      <c r="F13" s="205">
        <v>11922.9</v>
      </c>
      <c r="G13" s="205">
        <v>875</v>
      </c>
      <c r="H13" s="205">
        <v>0.28000000000000003</v>
      </c>
      <c r="I13" s="202">
        <f t="shared" si="0"/>
        <v>4042.5000000000005</v>
      </c>
      <c r="J13" s="205">
        <v>0</v>
      </c>
      <c r="K13" s="202">
        <f t="shared" si="1"/>
        <v>0</v>
      </c>
      <c r="L13" s="205" t="s">
        <v>53</v>
      </c>
      <c r="M13" s="207" t="s">
        <v>54</v>
      </c>
    </row>
    <row r="14" spans="1:13" ht="55" x14ac:dyDescent="0.55000000000000004">
      <c r="A14" s="206" t="s">
        <v>79</v>
      </c>
      <c r="B14" s="205" t="s">
        <v>97</v>
      </c>
      <c r="C14" s="205" t="s">
        <v>15</v>
      </c>
      <c r="D14" s="205">
        <v>13</v>
      </c>
      <c r="E14" s="205">
        <v>16.5</v>
      </c>
      <c r="F14" s="205">
        <v>12982.8</v>
      </c>
      <c r="G14" s="205">
        <v>875</v>
      </c>
      <c r="H14" s="205">
        <v>0.28000000000000003</v>
      </c>
      <c r="I14" s="202">
        <f t="shared" si="0"/>
        <v>4042.5000000000005</v>
      </c>
      <c r="J14" s="205">
        <v>0</v>
      </c>
      <c r="K14" s="202">
        <f t="shared" si="1"/>
        <v>0</v>
      </c>
      <c r="L14" s="205" t="s">
        <v>53</v>
      </c>
      <c r="M14" s="207" t="s">
        <v>57</v>
      </c>
    </row>
    <row r="15" spans="1:13" ht="110" x14ac:dyDescent="0.55000000000000004">
      <c r="A15" s="206" t="s">
        <v>50</v>
      </c>
      <c r="B15" s="205" t="s">
        <v>62</v>
      </c>
      <c r="C15" s="205" t="s">
        <v>52</v>
      </c>
      <c r="D15" s="205">
        <v>98</v>
      </c>
      <c r="E15" s="205">
        <v>21.6</v>
      </c>
      <c r="F15" s="205">
        <v>10568.4</v>
      </c>
      <c r="G15" s="205">
        <v>61</v>
      </c>
      <c r="H15" s="205">
        <v>1.5</v>
      </c>
      <c r="I15" s="202">
        <f t="shared" si="0"/>
        <v>1976.4</v>
      </c>
      <c r="J15" s="205">
        <v>0</v>
      </c>
      <c r="K15" s="202">
        <f t="shared" si="1"/>
        <v>0</v>
      </c>
      <c r="L15" s="205" t="s">
        <v>53</v>
      </c>
      <c r="M15" s="207" t="s">
        <v>57</v>
      </c>
    </row>
    <row r="16" spans="1:13" ht="110" x14ac:dyDescent="0.55000000000000004">
      <c r="A16" s="206" t="s">
        <v>59</v>
      </c>
      <c r="B16" s="205" t="s">
        <v>62</v>
      </c>
      <c r="C16" s="205" t="s">
        <v>61</v>
      </c>
      <c r="D16" s="205">
        <v>20</v>
      </c>
      <c r="E16" s="205">
        <v>4.2</v>
      </c>
      <c r="F16" s="205">
        <v>5.3</v>
      </c>
      <c r="G16" s="205">
        <v>0</v>
      </c>
      <c r="H16" s="205">
        <v>0</v>
      </c>
      <c r="I16" s="202">
        <f t="shared" si="0"/>
        <v>0</v>
      </c>
      <c r="J16" s="205">
        <v>0</v>
      </c>
      <c r="K16" s="202">
        <f t="shared" si="1"/>
        <v>0</v>
      </c>
      <c r="L16" s="205" t="s">
        <v>53</v>
      </c>
      <c r="M16" s="207" t="s">
        <v>57</v>
      </c>
    </row>
    <row r="17" spans="1:13" ht="110" x14ac:dyDescent="0.55000000000000004">
      <c r="A17" s="206" t="s">
        <v>79</v>
      </c>
      <c r="B17" s="205" t="s">
        <v>62</v>
      </c>
      <c r="C17" s="205" t="s">
        <v>15</v>
      </c>
      <c r="D17" s="205">
        <v>15</v>
      </c>
      <c r="E17" s="205">
        <v>3</v>
      </c>
      <c r="F17" s="205">
        <v>2582.4</v>
      </c>
      <c r="G17" s="205">
        <v>875</v>
      </c>
      <c r="H17" s="205">
        <v>0.28000000000000003</v>
      </c>
      <c r="I17" s="202">
        <f t="shared" si="0"/>
        <v>735.00000000000011</v>
      </c>
      <c r="J17" s="205">
        <v>0</v>
      </c>
      <c r="K17" s="202">
        <f t="shared" si="1"/>
        <v>0</v>
      </c>
      <c r="L17" s="205" t="s">
        <v>53</v>
      </c>
      <c r="M17" s="207" t="s">
        <v>54</v>
      </c>
    </row>
    <row r="18" spans="1:13" ht="110" x14ac:dyDescent="0.55000000000000004">
      <c r="A18" s="206" t="s">
        <v>79</v>
      </c>
      <c r="B18" s="205" t="s">
        <v>62</v>
      </c>
      <c r="C18" s="205" t="s">
        <v>15</v>
      </c>
      <c r="D18" s="205">
        <v>15</v>
      </c>
      <c r="E18" s="205">
        <v>6</v>
      </c>
      <c r="F18" s="205">
        <v>5815.3</v>
      </c>
      <c r="G18" s="205">
        <v>875</v>
      </c>
      <c r="H18" s="205">
        <v>0.28000000000000003</v>
      </c>
      <c r="I18" s="202">
        <f t="shared" si="0"/>
        <v>1470.0000000000002</v>
      </c>
      <c r="J18" s="205">
        <v>0</v>
      </c>
      <c r="K18" s="202">
        <f t="shared" si="1"/>
        <v>0</v>
      </c>
      <c r="L18" s="205" t="s">
        <v>53</v>
      </c>
      <c r="M18" s="207" t="s">
        <v>57</v>
      </c>
    </row>
    <row r="19" spans="1:13" ht="110" x14ac:dyDescent="0.55000000000000004">
      <c r="A19" s="206" t="s">
        <v>89</v>
      </c>
      <c r="B19" s="205" t="s">
        <v>62</v>
      </c>
      <c r="C19" s="205" t="s">
        <v>20</v>
      </c>
      <c r="D19" s="205">
        <v>80</v>
      </c>
      <c r="E19" s="205">
        <v>16.399999999999999</v>
      </c>
      <c r="F19" s="205">
        <v>11803.5</v>
      </c>
      <c r="G19" s="205">
        <v>470</v>
      </c>
      <c r="H19" s="205">
        <v>0.2</v>
      </c>
      <c r="I19" s="202">
        <f t="shared" si="0"/>
        <v>1541.6</v>
      </c>
      <c r="J19" s="205">
        <v>1.6</v>
      </c>
      <c r="K19" s="202">
        <f t="shared" si="1"/>
        <v>12332.8</v>
      </c>
      <c r="L19" s="205" t="s">
        <v>53</v>
      </c>
      <c r="M19" s="207" t="s">
        <v>57</v>
      </c>
    </row>
    <row r="20" spans="1:13" ht="55" x14ac:dyDescent="0.55000000000000004">
      <c r="A20" s="206" t="s">
        <v>79</v>
      </c>
      <c r="B20" s="205" t="s">
        <v>80</v>
      </c>
      <c r="C20" s="205" t="s">
        <v>15</v>
      </c>
      <c r="D20" s="205">
        <v>15</v>
      </c>
      <c r="E20" s="205">
        <v>1.8</v>
      </c>
      <c r="F20" s="205">
        <v>1513.7</v>
      </c>
      <c r="G20" s="205">
        <v>875</v>
      </c>
      <c r="H20" s="205">
        <v>0.28000000000000003</v>
      </c>
      <c r="I20" s="202">
        <f t="shared" si="0"/>
        <v>441.00000000000006</v>
      </c>
      <c r="J20" s="205">
        <v>0</v>
      </c>
      <c r="K20" s="202">
        <f t="shared" si="1"/>
        <v>0</v>
      </c>
      <c r="L20" s="205" t="s">
        <v>53</v>
      </c>
      <c r="M20" s="207" t="s">
        <v>57</v>
      </c>
    </row>
    <row r="21" spans="1:13" ht="55" x14ac:dyDescent="0.55000000000000004">
      <c r="A21" s="206" t="s">
        <v>79</v>
      </c>
      <c r="B21" s="205" t="s">
        <v>80</v>
      </c>
      <c r="C21" s="205" t="s">
        <v>15</v>
      </c>
      <c r="D21" s="205">
        <v>15</v>
      </c>
      <c r="E21" s="205">
        <v>1.8</v>
      </c>
      <c r="F21" s="205">
        <v>1403.6</v>
      </c>
      <c r="G21" s="205">
        <v>875</v>
      </c>
      <c r="H21" s="205">
        <v>0.28000000000000003</v>
      </c>
      <c r="I21" s="202">
        <f t="shared" si="0"/>
        <v>441.00000000000006</v>
      </c>
      <c r="J21" s="205">
        <v>0</v>
      </c>
      <c r="K21" s="202">
        <f t="shared" si="1"/>
        <v>0</v>
      </c>
      <c r="L21" s="205" t="s">
        <v>53</v>
      </c>
      <c r="M21" s="207" t="s">
        <v>54</v>
      </c>
    </row>
    <row r="22" spans="1:13" ht="55" x14ac:dyDescent="0.55000000000000004">
      <c r="A22" s="206" t="s">
        <v>89</v>
      </c>
      <c r="B22" s="205" t="s">
        <v>80</v>
      </c>
      <c r="C22" s="205" t="s">
        <v>20</v>
      </c>
      <c r="D22" s="205">
        <v>80</v>
      </c>
      <c r="E22" s="205">
        <v>8.6</v>
      </c>
      <c r="F22" s="205">
        <v>6086.4</v>
      </c>
      <c r="G22" s="205">
        <v>470</v>
      </c>
      <c r="H22" s="205">
        <v>0.2</v>
      </c>
      <c r="I22" s="202">
        <f t="shared" si="0"/>
        <v>808.40000000000009</v>
      </c>
      <c r="J22" s="205">
        <v>1.6</v>
      </c>
      <c r="K22" s="202">
        <f t="shared" si="1"/>
        <v>6467.2000000000007</v>
      </c>
      <c r="L22" s="205" t="s">
        <v>53</v>
      </c>
      <c r="M22" s="207" t="s">
        <v>54</v>
      </c>
    </row>
    <row r="23" spans="1:13" ht="165" x14ac:dyDescent="0.55000000000000004">
      <c r="A23" s="206" t="s">
        <v>79</v>
      </c>
      <c r="B23" s="205" t="s">
        <v>85</v>
      </c>
      <c r="C23" s="205" t="s">
        <v>15</v>
      </c>
      <c r="D23" s="205">
        <v>15</v>
      </c>
      <c r="E23" s="205">
        <v>3.5</v>
      </c>
      <c r="F23" s="205">
        <v>3583.7</v>
      </c>
      <c r="G23" s="205">
        <v>875</v>
      </c>
      <c r="H23" s="205">
        <v>0.28000000000000003</v>
      </c>
      <c r="I23" s="202">
        <f t="shared" si="0"/>
        <v>857.50000000000011</v>
      </c>
      <c r="J23" s="205">
        <v>0</v>
      </c>
      <c r="K23" s="202">
        <f t="shared" si="1"/>
        <v>0</v>
      </c>
      <c r="L23" s="205" t="s">
        <v>53</v>
      </c>
      <c r="M23" s="207" t="s">
        <v>57</v>
      </c>
    </row>
    <row r="24" spans="1:13" ht="165" x14ac:dyDescent="0.55000000000000004">
      <c r="A24" s="206" t="s">
        <v>79</v>
      </c>
      <c r="B24" s="205" t="s">
        <v>85</v>
      </c>
      <c r="C24" s="205" t="s">
        <v>15</v>
      </c>
      <c r="D24" s="205">
        <v>15</v>
      </c>
      <c r="E24" s="205">
        <v>3.5</v>
      </c>
      <c r="F24" s="205">
        <v>3191.2</v>
      </c>
      <c r="G24" s="205">
        <v>875</v>
      </c>
      <c r="H24" s="205">
        <v>0.28000000000000003</v>
      </c>
      <c r="I24" s="202">
        <f t="shared" si="0"/>
        <v>857.50000000000011</v>
      </c>
      <c r="J24" s="205">
        <v>0</v>
      </c>
      <c r="K24" s="202">
        <f t="shared" si="1"/>
        <v>0</v>
      </c>
      <c r="L24" s="205" t="s">
        <v>53</v>
      </c>
      <c r="M24" s="207" t="s">
        <v>54</v>
      </c>
    </row>
    <row r="25" spans="1:13" ht="165" x14ac:dyDescent="0.55000000000000004">
      <c r="A25" s="206" t="s">
        <v>89</v>
      </c>
      <c r="B25" s="205" t="s">
        <v>85</v>
      </c>
      <c r="C25" s="205" t="s">
        <v>20</v>
      </c>
      <c r="D25" s="205">
        <v>80</v>
      </c>
      <c r="E25" s="205">
        <v>23.1</v>
      </c>
      <c r="F25" s="205">
        <v>15650.7</v>
      </c>
      <c r="G25" s="205">
        <v>470</v>
      </c>
      <c r="H25" s="205">
        <v>0.2</v>
      </c>
      <c r="I25" s="202">
        <f t="shared" si="0"/>
        <v>2171.4</v>
      </c>
      <c r="J25" s="205">
        <v>1.6</v>
      </c>
      <c r="K25" s="202">
        <f t="shared" si="1"/>
        <v>17371.2</v>
      </c>
      <c r="L25" s="205" t="s">
        <v>53</v>
      </c>
      <c r="M25" s="207" t="s">
        <v>57</v>
      </c>
    </row>
    <row r="26" spans="1:13" ht="137.5" x14ac:dyDescent="0.55000000000000004">
      <c r="A26" s="206" t="s">
        <v>50</v>
      </c>
      <c r="B26" s="205" t="s">
        <v>93</v>
      </c>
      <c r="C26" s="205" t="s">
        <v>52</v>
      </c>
      <c r="D26" s="205">
        <v>66</v>
      </c>
      <c r="E26" s="205">
        <v>19.399999999999999</v>
      </c>
      <c r="F26" s="205">
        <v>10417.200000000001</v>
      </c>
      <c r="G26" s="205">
        <v>61</v>
      </c>
      <c r="H26" s="205">
        <v>1.5</v>
      </c>
      <c r="I26" s="202">
        <f t="shared" si="0"/>
        <v>1775.1</v>
      </c>
      <c r="J26" s="205">
        <v>0</v>
      </c>
      <c r="K26" s="202">
        <f t="shared" si="1"/>
        <v>0</v>
      </c>
      <c r="L26" s="205" t="s">
        <v>53</v>
      </c>
      <c r="M26" s="207" t="s">
        <v>54</v>
      </c>
    </row>
    <row r="27" spans="1:13" ht="137.5" x14ac:dyDescent="0.55000000000000004">
      <c r="A27" s="206" t="s">
        <v>79</v>
      </c>
      <c r="B27" s="205" t="s">
        <v>93</v>
      </c>
      <c r="C27" s="205" t="s">
        <v>15</v>
      </c>
      <c r="D27" s="205">
        <v>15</v>
      </c>
      <c r="E27" s="205">
        <v>7</v>
      </c>
      <c r="F27" s="205">
        <v>8146.8</v>
      </c>
      <c r="G27" s="205">
        <v>875</v>
      </c>
      <c r="H27" s="205">
        <v>0.28000000000000003</v>
      </c>
      <c r="I27" s="202">
        <f t="shared" si="0"/>
        <v>1715.0000000000002</v>
      </c>
      <c r="J27" s="205">
        <v>0</v>
      </c>
      <c r="K27" s="202">
        <f t="shared" si="1"/>
        <v>0</v>
      </c>
      <c r="L27" s="205" t="s">
        <v>53</v>
      </c>
      <c r="M27" s="207" t="s">
        <v>57</v>
      </c>
    </row>
    <row r="28" spans="1:13" ht="110" x14ac:dyDescent="0.55000000000000004">
      <c r="A28" s="206" t="s">
        <v>50</v>
      </c>
      <c r="B28" s="205" t="s">
        <v>63</v>
      </c>
      <c r="C28" s="205" t="s">
        <v>52</v>
      </c>
      <c r="D28" s="205">
        <v>68</v>
      </c>
      <c r="E28" s="205">
        <v>16.600000000000001</v>
      </c>
      <c r="F28" s="205">
        <v>8027.3</v>
      </c>
      <c r="G28" s="205">
        <v>61</v>
      </c>
      <c r="H28" s="205">
        <v>1.5</v>
      </c>
      <c r="I28" s="202">
        <f t="shared" si="0"/>
        <v>1518.9</v>
      </c>
      <c r="J28" s="205">
        <v>0</v>
      </c>
      <c r="K28" s="202">
        <f t="shared" si="1"/>
        <v>0</v>
      </c>
      <c r="L28" s="205" t="s">
        <v>53</v>
      </c>
      <c r="M28" s="207" t="s">
        <v>54</v>
      </c>
    </row>
    <row r="29" spans="1:13" ht="110" x14ac:dyDescent="0.55000000000000004">
      <c r="A29" s="206" t="s">
        <v>59</v>
      </c>
      <c r="B29" s="205" t="s">
        <v>63</v>
      </c>
      <c r="C29" s="205" t="s">
        <v>61</v>
      </c>
      <c r="D29" s="205">
        <v>20</v>
      </c>
      <c r="E29" s="205">
        <v>5.0999999999999996</v>
      </c>
      <c r="F29" s="205">
        <v>5.4</v>
      </c>
      <c r="G29" s="205">
        <v>0</v>
      </c>
      <c r="H29" s="205">
        <v>0</v>
      </c>
      <c r="I29" s="202">
        <f t="shared" si="0"/>
        <v>0</v>
      </c>
      <c r="J29" s="205">
        <v>0</v>
      </c>
      <c r="K29" s="202">
        <f t="shared" si="1"/>
        <v>0</v>
      </c>
      <c r="L29" s="205" t="s">
        <v>53</v>
      </c>
      <c r="M29" s="207" t="s">
        <v>54</v>
      </c>
    </row>
    <row r="30" spans="1:13" ht="110" x14ac:dyDescent="0.55000000000000004">
      <c r="A30" s="206" t="s">
        <v>79</v>
      </c>
      <c r="B30" s="205" t="s">
        <v>63</v>
      </c>
      <c r="C30" s="205" t="s">
        <v>15</v>
      </c>
      <c r="D30" s="205">
        <v>15</v>
      </c>
      <c r="E30" s="205">
        <v>8.3000000000000007</v>
      </c>
      <c r="F30" s="205">
        <v>8365.4</v>
      </c>
      <c r="G30" s="205">
        <v>875</v>
      </c>
      <c r="H30" s="205">
        <v>0.28000000000000003</v>
      </c>
      <c r="I30" s="202">
        <f t="shared" si="0"/>
        <v>2033.5000000000005</v>
      </c>
      <c r="J30" s="205">
        <v>0</v>
      </c>
      <c r="K30" s="202">
        <f t="shared" si="1"/>
        <v>0</v>
      </c>
      <c r="L30" s="205" t="s">
        <v>53</v>
      </c>
      <c r="M30" s="207" t="s">
        <v>57</v>
      </c>
    </row>
    <row r="31" spans="1:13" ht="110" x14ac:dyDescent="0.55000000000000004">
      <c r="A31" s="206" t="s">
        <v>89</v>
      </c>
      <c r="B31" s="205" t="s">
        <v>63</v>
      </c>
      <c r="C31" s="205" t="s">
        <v>20</v>
      </c>
      <c r="D31" s="205">
        <v>80</v>
      </c>
      <c r="E31" s="205">
        <v>19</v>
      </c>
      <c r="F31" s="205">
        <v>13420.7</v>
      </c>
      <c r="G31" s="205">
        <v>470</v>
      </c>
      <c r="H31" s="205">
        <v>0.2</v>
      </c>
      <c r="I31" s="202">
        <f t="shared" si="0"/>
        <v>1786</v>
      </c>
      <c r="J31" s="205">
        <v>1.6</v>
      </c>
      <c r="K31" s="202">
        <f t="shared" si="1"/>
        <v>14288</v>
      </c>
      <c r="L31" s="205" t="s">
        <v>53</v>
      </c>
      <c r="M31" s="207" t="s">
        <v>54</v>
      </c>
    </row>
    <row r="32" spans="1:13" ht="82.5" x14ac:dyDescent="0.55000000000000004">
      <c r="A32" s="206" t="s">
        <v>50</v>
      </c>
      <c r="B32" s="205" t="s">
        <v>102</v>
      </c>
      <c r="C32" s="205" t="s">
        <v>52</v>
      </c>
      <c r="D32" s="205">
        <v>50</v>
      </c>
      <c r="E32" s="205">
        <v>43</v>
      </c>
      <c r="F32" s="205">
        <v>21801.3</v>
      </c>
      <c r="G32" s="205">
        <v>61</v>
      </c>
      <c r="H32" s="205">
        <v>1.5</v>
      </c>
      <c r="I32" s="202">
        <f t="shared" si="0"/>
        <v>3934.5</v>
      </c>
      <c r="J32" s="205">
        <v>0</v>
      </c>
      <c r="K32" s="202">
        <f t="shared" si="1"/>
        <v>0</v>
      </c>
      <c r="L32" s="205" t="s">
        <v>53</v>
      </c>
      <c r="M32" s="207" t="s">
        <v>54</v>
      </c>
    </row>
    <row r="33" spans="1:13" ht="82.5" x14ac:dyDescent="0.55000000000000004">
      <c r="A33" s="206" t="s">
        <v>79</v>
      </c>
      <c r="B33" s="205" t="s">
        <v>102</v>
      </c>
      <c r="C33" s="205" t="s">
        <v>15</v>
      </c>
      <c r="D33" s="205">
        <v>15</v>
      </c>
      <c r="E33" s="205">
        <v>26</v>
      </c>
      <c r="F33" s="205">
        <v>20574.599999999999</v>
      </c>
      <c r="G33" s="205">
        <v>875</v>
      </c>
      <c r="H33" s="205">
        <v>0.28000000000000003</v>
      </c>
      <c r="I33" s="202">
        <f t="shared" si="0"/>
        <v>6370.0000000000009</v>
      </c>
      <c r="J33" s="205">
        <v>0</v>
      </c>
      <c r="K33" s="202">
        <f t="shared" si="1"/>
        <v>0</v>
      </c>
      <c r="L33" s="205" t="s">
        <v>53</v>
      </c>
      <c r="M33" s="207" t="s">
        <v>57</v>
      </c>
    </row>
    <row r="34" spans="1:13" ht="82.5" x14ac:dyDescent="0.55000000000000004">
      <c r="A34" s="206" t="s">
        <v>89</v>
      </c>
      <c r="B34" s="205" t="s">
        <v>102</v>
      </c>
      <c r="C34" s="205" t="s">
        <v>20</v>
      </c>
      <c r="D34" s="205">
        <v>80</v>
      </c>
      <c r="E34" s="205">
        <v>137.6</v>
      </c>
      <c r="F34" s="205">
        <v>97436.3</v>
      </c>
      <c r="G34" s="205">
        <v>470</v>
      </c>
      <c r="H34" s="205">
        <v>0.2</v>
      </c>
      <c r="I34" s="202">
        <f t="shared" si="0"/>
        <v>12934.400000000001</v>
      </c>
      <c r="J34" s="205">
        <v>1.6</v>
      </c>
      <c r="K34" s="202">
        <f t="shared" si="1"/>
        <v>103475.20000000001</v>
      </c>
      <c r="L34" s="205" t="s">
        <v>53</v>
      </c>
      <c r="M34" s="207" t="s">
        <v>54</v>
      </c>
    </row>
    <row r="35" spans="1:13" ht="110" x14ac:dyDescent="0.55000000000000004">
      <c r="A35" s="206" t="s">
        <v>95</v>
      </c>
      <c r="B35" s="205" t="s">
        <v>96</v>
      </c>
      <c r="C35" s="205" t="s">
        <v>30</v>
      </c>
      <c r="D35" s="205">
        <v>300</v>
      </c>
      <c r="E35" s="205">
        <v>3.8</v>
      </c>
      <c r="F35" s="205">
        <v>9014</v>
      </c>
      <c r="G35" s="205">
        <v>2375</v>
      </c>
      <c r="H35" s="205">
        <v>0.15</v>
      </c>
      <c r="I35" s="202">
        <f t="shared" si="0"/>
        <v>1353.75</v>
      </c>
      <c r="J35" s="205">
        <v>0</v>
      </c>
      <c r="K35" s="202">
        <f t="shared" si="1"/>
        <v>0</v>
      </c>
      <c r="L35" s="205" t="s">
        <v>53</v>
      </c>
      <c r="M35" s="207" t="s">
        <v>54</v>
      </c>
    </row>
    <row r="36" spans="1:13" ht="110" x14ac:dyDescent="0.55000000000000004">
      <c r="A36" s="206" t="s">
        <v>95</v>
      </c>
      <c r="B36" s="205" t="s">
        <v>104</v>
      </c>
      <c r="C36" s="205" t="s">
        <v>30</v>
      </c>
      <c r="D36" s="205">
        <v>200</v>
      </c>
      <c r="E36" s="205">
        <v>16.3</v>
      </c>
      <c r="F36" s="205">
        <v>38202.800000000003</v>
      </c>
      <c r="G36" s="205">
        <v>2375</v>
      </c>
      <c r="H36" s="205">
        <v>0.15</v>
      </c>
      <c r="I36" s="202">
        <f t="shared" si="0"/>
        <v>5806.875</v>
      </c>
      <c r="J36" s="205">
        <v>0</v>
      </c>
      <c r="K36" s="202">
        <f t="shared" si="1"/>
        <v>0</v>
      </c>
      <c r="L36" s="205" t="s">
        <v>53</v>
      </c>
      <c r="M36" s="207" t="s">
        <v>54</v>
      </c>
    </row>
    <row r="37" spans="1:13" ht="55" x14ac:dyDescent="0.55000000000000004">
      <c r="A37" s="206" t="s">
        <v>59</v>
      </c>
      <c r="B37" s="205" t="s">
        <v>69</v>
      </c>
      <c r="C37" s="205" t="s">
        <v>61</v>
      </c>
      <c r="D37" s="205">
        <v>300</v>
      </c>
      <c r="E37" s="205">
        <v>59.6</v>
      </c>
      <c r="F37" s="205">
        <v>71.599999999999994</v>
      </c>
      <c r="G37" s="205">
        <v>0</v>
      </c>
      <c r="H37" s="205">
        <v>0</v>
      </c>
      <c r="I37" s="202">
        <f t="shared" si="0"/>
        <v>0</v>
      </c>
      <c r="J37" s="205">
        <v>0</v>
      </c>
      <c r="K37" s="202">
        <f t="shared" si="1"/>
        <v>0</v>
      </c>
      <c r="L37" s="205" t="s">
        <v>53</v>
      </c>
      <c r="M37" s="207" t="s">
        <v>54</v>
      </c>
    </row>
    <row r="38" spans="1:13" ht="55" x14ac:dyDescent="0.55000000000000004">
      <c r="A38" s="206" t="s">
        <v>79</v>
      </c>
      <c r="B38" s="205" t="s">
        <v>69</v>
      </c>
      <c r="C38" s="205" t="s">
        <v>15</v>
      </c>
      <c r="D38" s="205">
        <v>15</v>
      </c>
      <c r="E38" s="205">
        <v>10</v>
      </c>
      <c r="F38" s="205">
        <v>8820.7999999999993</v>
      </c>
      <c r="G38" s="205">
        <v>875</v>
      </c>
      <c r="H38" s="205">
        <v>0.28000000000000003</v>
      </c>
      <c r="I38" s="202">
        <f t="shared" ref="I38:I69" si="2">(G38*E38)*H38</f>
        <v>2450.0000000000005</v>
      </c>
      <c r="J38" s="205">
        <v>0</v>
      </c>
      <c r="K38" s="202">
        <f t="shared" ref="K38:K69" si="3">(G38*E38)*J38</f>
        <v>0</v>
      </c>
      <c r="L38" s="205" t="s">
        <v>53</v>
      </c>
      <c r="M38" s="207" t="s">
        <v>54</v>
      </c>
    </row>
    <row r="39" spans="1:13" ht="55" x14ac:dyDescent="0.55000000000000004">
      <c r="A39" s="206" t="s">
        <v>89</v>
      </c>
      <c r="B39" s="205" t="s">
        <v>69</v>
      </c>
      <c r="C39" s="205" t="s">
        <v>20</v>
      </c>
      <c r="D39" s="205">
        <v>120</v>
      </c>
      <c r="E39" s="205">
        <v>28.5</v>
      </c>
      <c r="F39" s="205">
        <v>19964.8</v>
      </c>
      <c r="G39" s="205">
        <v>470</v>
      </c>
      <c r="H39" s="205">
        <v>0.2</v>
      </c>
      <c r="I39" s="202">
        <f t="shared" si="2"/>
        <v>2679</v>
      </c>
      <c r="J39" s="205">
        <v>1.6</v>
      </c>
      <c r="K39" s="202">
        <f t="shared" si="3"/>
        <v>21432</v>
      </c>
      <c r="L39" s="205" t="s">
        <v>53</v>
      </c>
      <c r="M39" s="207" t="s">
        <v>57</v>
      </c>
    </row>
    <row r="40" spans="1:13" ht="137.5" x14ac:dyDescent="0.55000000000000004">
      <c r="A40" s="206" t="s">
        <v>101</v>
      </c>
      <c r="B40" s="205" t="s">
        <v>65</v>
      </c>
      <c r="C40" s="205" t="s">
        <v>4</v>
      </c>
      <c r="D40" s="205">
        <v>40</v>
      </c>
      <c r="E40" s="205">
        <v>11</v>
      </c>
      <c r="F40" s="205">
        <v>19186.7</v>
      </c>
      <c r="G40" s="205">
        <v>2353</v>
      </c>
      <c r="H40" s="205">
        <v>0.12</v>
      </c>
      <c r="I40" s="202">
        <f t="shared" si="2"/>
        <v>3105.96</v>
      </c>
      <c r="J40" s="205">
        <v>0</v>
      </c>
      <c r="K40" s="202">
        <f t="shared" si="3"/>
        <v>0</v>
      </c>
      <c r="L40" s="205" t="s">
        <v>53</v>
      </c>
      <c r="M40" s="207" t="s">
        <v>57</v>
      </c>
    </row>
    <row r="41" spans="1:13" ht="137.5" x14ac:dyDescent="0.55000000000000004">
      <c r="A41" s="206" t="s">
        <v>50</v>
      </c>
      <c r="B41" s="205" t="s">
        <v>65</v>
      </c>
      <c r="C41" s="205" t="s">
        <v>52</v>
      </c>
      <c r="D41" s="205">
        <v>30</v>
      </c>
      <c r="E41" s="205">
        <v>5.5</v>
      </c>
      <c r="F41" s="205">
        <v>3996.8</v>
      </c>
      <c r="G41" s="205">
        <v>61</v>
      </c>
      <c r="H41" s="205">
        <v>1.5</v>
      </c>
      <c r="I41" s="202">
        <f t="shared" si="2"/>
        <v>503.25</v>
      </c>
      <c r="J41" s="205">
        <v>0</v>
      </c>
      <c r="K41" s="202">
        <f t="shared" si="3"/>
        <v>0</v>
      </c>
      <c r="L41" s="205" t="s">
        <v>53</v>
      </c>
      <c r="M41" s="207" t="s">
        <v>57</v>
      </c>
    </row>
    <row r="42" spans="1:13" ht="137.5" x14ac:dyDescent="0.55000000000000004">
      <c r="A42" s="206" t="s">
        <v>75</v>
      </c>
      <c r="B42" s="205" t="s">
        <v>65</v>
      </c>
      <c r="C42" s="205" t="s">
        <v>76</v>
      </c>
      <c r="D42" s="205">
        <v>100</v>
      </c>
      <c r="E42" s="205">
        <v>22</v>
      </c>
      <c r="F42" s="205">
        <v>883.1</v>
      </c>
      <c r="G42" s="205">
        <v>33</v>
      </c>
      <c r="H42" s="205">
        <v>1.5</v>
      </c>
      <c r="I42" s="202">
        <f t="shared" si="2"/>
        <v>1089</v>
      </c>
      <c r="J42" s="205">
        <v>0</v>
      </c>
      <c r="K42" s="202">
        <f t="shared" si="3"/>
        <v>0</v>
      </c>
      <c r="L42" s="205" t="s">
        <v>53</v>
      </c>
      <c r="M42" s="207" t="s">
        <v>57</v>
      </c>
    </row>
    <row r="43" spans="1:13" ht="137.5" x14ac:dyDescent="0.55000000000000004">
      <c r="A43" s="206" t="s">
        <v>64</v>
      </c>
      <c r="B43" s="205" t="s">
        <v>65</v>
      </c>
      <c r="C43" s="205" t="s">
        <v>66</v>
      </c>
      <c r="D43" s="205">
        <v>25</v>
      </c>
      <c r="E43" s="205">
        <v>5.5</v>
      </c>
      <c r="F43" s="205">
        <v>5.5</v>
      </c>
      <c r="G43" s="205">
        <v>0</v>
      </c>
      <c r="H43" s="205">
        <v>0</v>
      </c>
      <c r="I43" s="202">
        <f t="shared" si="2"/>
        <v>0</v>
      </c>
      <c r="J43" s="205">
        <v>0</v>
      </c>
      <c r="K43" s="202">
        <f t="shared" si="3"/>
        <v>0</v>
      </c>
      <c r="L43" s="205" t="s">
        <v>53</v>
      </c>
      <c r="M43" s="207" t="s">
        <v>57</v>
      </c>
    </row>
    <row r="44" spans="1:13" ht="137.5" x14ac:dyDescent="0.55000000000000004">
      <c r="A44" s="206" t="s">
        <v>64</v>
      </c>
      <c r="B44" s="205" t="s">
        <v>65</v>
      </c>
      <c r="C44" s="205" t="s">
        <v>66</v>
      </c>
      <c r="D44" s="205">
        <v>30</v>
      </c>
      <c r="E44" s="205">
        <v>5.5</v>
      </c>
      <c r="F44" s="205">
        <v>11</v>
      </c>
      <c r="G44" s="205">
        <v>0</v>
      </c>
      <c r="H44" s="205">
        <v>0</v>
      </c>
      <c r="I44" s="202">
        <f t="shared" si="2"/>
        <v>0</v>
      </c>
      <c r="J44" s="205">
        <v>0</v>
      </c>
      <c r="K44" s="202">
        <f t="shared" si="3"/>
        <v>0</v>
      </c>
      <c r="L44" s="205" t="s">
        <v>53</v>
      </c>
      <c r="M44" s="207" t="s">
        <v>57</v>
      </c>
    </row>
    <row r="45" spans="1:13" ht="137.5" x14ac:dyDescent="0.55000000000000004">
      <c r="A45" s="206" t="s">
        <v>64</v>
      </c>
      <c r="B45" s="205" t="s">
        <v>65</v>
      </c>
      <c r="C45" s="205" t="s">
        <v>66</v>
      </c>
      <c r="D45" s="205">
        <v>160</v>
      </c>
      <c r="E45" s="205">
        <v>33.4</v>
      </c>
      <c r="F45" s="205">
        <v>44</v>
      </c>
      <c r="G45" s="205">
        <v>0</v>
      </c>
      <c r="H45" s="205">
        <v>0</v>
      </c>
      <c r="I45" s="202">
        <f t="shared" si="2"/>
        <v>0</v>
      </c>
      <c r="J45" s="205">
        <v>0</v>
      </c>
      <c r="K45" s="202">
        <f t="shared" si="3"/>
        <v>0</v>
      </c>
      <c r="L45" s="205" t="s">
        <v>53</v>
      </c>
      <c r="M45" s="207" t="s">
        <v>57</v>
      </c>
    </row>
    <row r="46" spans="1:13" ht="137.5" x14ac:dyDescent="0.55000000000000004">
      <c r="A46" s="206" t="s">
        <v>79</v>
      </c>
      <c r="B46" s="205" t="s">
        <v>65</v>
      </c>
      <c r="C46" s="205" t="s">
        <v>15</v>
      </c>
      <c r="D46" s="205">
        <v>13</v>
      </c>
      <c r="E46" s="205">
        <v>5.5</v>
      </c>
      <c r="F46" s="205">
        <v>2798</v>
      </c>
      <c r="G46" s="205">
        <v>875</v>
      </c>
      <c r="H46" s="205">
        <v>0.28000000000000003</v>
      </c>
      <c r="I46" s="202">
        <f t="shared" si="2"/>
        <v>1347.5000000000002</v>
      </c>
      <c r="J46" s="205">
        <v>0</v>
      </c>
      <c r="K46" s="202">
        <f t="shared" si="3"/>
        <v>0</v>
      </c>
      <c r="L46" s="205" t="s">
        <v>53</v>
      </c>
      <c r="M46" s="207" t="s">
        <v>57</v>
      </c>
    </row>
    <row r="47" spans="1:13" ht="137.5" x14ac:dyDescent="0.55000000000000004">
      <c r="A47" s="206" t="s">
        <v>86</v>
      </c>
      <c r="B47" s="205" t="s">
        <v>65</v>
      </c>
      <c r="C47" s="205" t="s">
        <v>87</v>
      </c>
      <c r="D47" s="205">
        <v>18</v>
      </c>
      <c r="E47" s="205">
        <v>5.5</v>
      </c>
      <c r="F47" s="205">
        <v>3838</v>
      </c>
      <c r="G47" s="205">
        <v>0</v>
      </c>
      <c r="H47" s="205">
        <v>0</v>
      </c>
      <c r="I47" s="202">
        <f t="shared" si="2"/>
        <v>0</v>
      </c>
      <c r="J47" s="205">
        <v>0</v>
      </c>
      <c r="K47" s="202">
        <f t="shared" si="3"/>
        <v>0</v>
      </c>
      <c r="L47" s="205" t="s">
        <v>53</v>
      </c>
      <c r="M47" s="207" t="s">
        <v>57</v>
      </c>
    </row>
    <row r="48" spans="1:13" ht="137.5" x14ac:dyDescent="0.55000000000000004">
      <c r="A48" s="206" t="s">
        <v>89</v>
      </c>
      <c r="B48" s="205" t="s">
        <v>65</v>
      </c>
      <c r="C48" s="205" t="s">
        <v>20</v>
      </c>
      <c r="D48" s="205">
        <v>80</v>
      </c>
      <c r="E48" s="205">
        <v>22</v>
      </c>
      <c r="F48" s="205">
        <v>14923.1</v>
      </c>
      <c r="G48" s="205">
        <v>470</v>
      </c>
      <c r="H48" s="205">
        <v>0.2</v>
      </c>
      <c r="I48" s="202">
        <f t="shared" si="2"/>
        <v>2068</v>
      </c>
      <c r="J48" s="205">
        <v>1.6</v>
      </c>
      <c r="K48" s="202">
        <f t="shared" si="3"/>
        <v>16544</v>
      </c>
      <c r="L48" s="205" t="s">
        <v>53</v>
      </c>
      <c r="M48" s="207" t="s">
        <v>57</v>
      </c>
    </row>
    <row r="49" spans="1:13" ht="82.5" x14ac:dyDescent="0.55000000000000004">
      <c r="A49" s="206" t="s">
        <v>101</v>
      </c>
      <c r="B49" s="205" t="s">
        <v>68</v>
      </c>
      <c r="C49" s="205" t="s">
        <v>4</v>
      </c>
      <c r="D49" s="205">
        <v>40</v>
      </c>
      <c r="E49" s="205">
        <v>57.8</v>
      </c>
      <c r="F49" s="205">
        <v>102691.1</v>
      </c>
      <c r="G49" s="205">
        <v>2353</v>
      </c>
      <c r="H49" s="205">
        <v>0.12</v>
      </c>
      <c r="I49" s="202">
        <f t="shared" si="2"/>
        <v>16320.407999999999</v>
      </c>
      <c r="J49" s="205">
        <v>0</v>
      </c>
      <c r="K49" s="202">
        <f t="shared" si="3"/>
        <v>0</v>
      </c>
      <c r="L49" s="205" t="s">
        <v>53</v>
      </c>
      <c r="M49" s="207" t="s">
        <v>57</v>
      </c>
    </row>
    <row r="50" spans="1:13" ht="82.5" x14ac:dyDescent="0.55000000000000004">
      <c r="A50" s="206" t="s">
        <v>50</v>
      </c>
      <c r="B50" s="205" t="s">
        <v>68</v>
      </c>
      <c r="C50" s="205" t="s">
        <v>52</v>
      </c>
      <c r="D50" s="205">
        <v>30</v>
      </c>
      <c r="E50" s="205">
        <v>42</v>
      </c>
      <c r="F50" s="205">
        <v>21393.7</v>
      </c>
      <c r="G50" s="205">
        <v>61</v>
      </c>
      <c r="H50" s="205">
        <v>1.5</v>
      </c>
      <c r="I50" s="202">
        <f t="shared" si="2"/>
        <v>3843</v>
      </c>
      <c r="J50" s="205">
        <v>0</v>
      </c>
      <c r="K50" s="202">
        <f t="shared" si="3"/>
        <v>0</v>
      </c>
      <c r="L50" s="205" t="s">
        <v>53</v>
      </c>
      <c r="M50" s="207" t="s">
        <v>57</v>
      </c>
    </row>
    <row r="51" spans="1:13" ht="82.5" x14ac:dyDescent="0.55000000000000004">
      <c r="A51" s="206" t="s">
        <v>75</v>
      </c>
      <c r="B51" s="205" t="s">
        <v>68</v>
      </c>
      <c r="C51" s="205" t="s">
        <v>76</v>
      </c>
      <c r="D51" s="205">
        <v>100</v>
      </c>
      <c r="E51" s="205">
        <v>118.3</v>
      </c>
      <c r="F51" s="205">
        <v>4717.8</v>
      </c>
      <c r="G51" s="205">
        <v>33</v>
      </c>
      <c r="H51" s="205">
        <v>1.5</v>
      </c>
      <c r="I51" s="202">
        <f t="shared" si="2"/>
        <v>5855.85</v>
      </c>
      <c r="J51" s="205">
        <v>0</v>
      </c>
      <c r="K51" s="202">
        <f t="shared" si="3"/>
        <v>0</v>
      </c>
      <c r="L51" s="205" t="s">
        <v>53</v>
      </c>
      <c r="M51" s="207" t="s">
        <v>54</v>
      </c>
    </row>
    <row r="52" spans="1:13" ht="82.5" x14ac:dyDescent="0.55000000000000004">
      <c r="A52" s="206" t="s">
        <v>64</v>
      </c>
      <c r="B52" s="205" t="s">
        <v>68</v>
      </c>
      <c r="C52" s="205" t="s">
        <v>66</v>
      </c>
      <c r="D52" s="205">
        <v>25</v>
      </c>
      <c r="E52" s="205">
        <v>35.5</v>
      </c>
      <c r="F52" s="205">
        <v>42</v>
      </c>
      <c r="G52" s="205">
        <v>0</v>
      </c>
      <c r="H52" s="205">
        <v>0</v>
      </c>
      <c r="I52" s="202">
        <f t="shared" si="2"/>
        <v>0</v>
      </c>
      <c r="J52" s="205">
        <v>0</v>
      </c>
      <c r="K52" s="202">
        <f t="shared" si="3"/>
        <v>0</v>
      </c>
      <c r="L52" s="205" t="s">
        <v>53</v>
      </c>
      <c r="M52" s="207" t="s">
        <v>54</v>
      </c>
    </row>
    <row r="53" spans="1:13" ht="82.5" x14ac:dyDescent="0.55000000000000004">
      <c r="A53" s="206" t="s">
        <v>59</v>
      </c>
      <c r="B53" s="205" t="s">
        <v>68</v>
      </c>
      <c r="C53" s="205" t="s">
        <v>61</v>
      </c>
      <c r="D53" s="205">
        <v>30</v>
      </c>
      <c r="E53" s="205">
        <v>42</v>
      </c>
      <c r="F53" s="205">
        <v>52.2</v>
      </c>
      <c r="G53" s="205">
        <v>0</v>
      </c>
      <c r="H53" s="205">
        <v>0</v>
      </c>
      <c r="I53" s="202">
        <f t="shared" si="2"/>
        <v>0</v>
      </c>
      <c r="J53" s="205">
        <v>0</v>
      </c>
      <c r="K53" s="202">
        <f t="shared" si="3"/>
        <v>0</v>
      </c>
      <c r="L53" s="205" t="s">
        <v>53</v>
      </c>
      <c r="M53" s="207" t="s">
        <v>54</v>
      </c>
    </row>
    <row r="54" spans="1:13" ht="82.5" x14ac:dyDescent="0.55000000000000004">
      <c r="A54" s="206" t="s">
        <v>59</v>
      </c>
      <c r="B54" s="205" t="s">
        <v>68</v>
      </c>
      <c r="C54" s="205" t="s">
        <v>61</v>
      </c>
      <c r="D54" s="205">
        <v>160</v>
      </c>
      <c r="E54" s="205">
        <v>188.2</v>
      </c>
      <c r="F54" s="205">
        <v>226.9</v>
      </c>
      <c r="G54" s="205">
        <v>0</v>
      </c>
      <c r="H54" s="205">
        <v>0</v>
      </c>
      <c r="I54" s="202">
        <f t="shared" si="2"/>
        <v>0</v>
      </c>
      <c r="J54" s="205">
        <v>0</v>
      </c>
      <c r="K54" s="202">
        <f t="shared" si="3"/>
        <v>0</v>
      </c>
      <c r="L54" s="205" t="s">
        <v>53</v>
      </c>
      <c r="M54" s="207" t="s">
        <v>54</v>
      </c>
    </row>
    <row r="55" spans="1:13" ht="82.5" x14ac:dyDescent="0.55000000000000004">
      <c r="A55" s="206" t="s">
        <v>86</v>
      </c>
      <c r="B55" s="205" t="s">
        <v>68</v>
      </c>
      <c r="C55" s="205" t="s">
        <v>87</v>
      </c>
      <c r="D55" s="205">
        <v>18</v>
      </c>
      <c r="E55" s="205">
        <v>25</v>
      </c>
      <c r="F55" s="205">
        <v>20537.900000000001</v>
      </c>
      <c r="G55" s="205">
        <v>0</v>
      </c>
      <c r="H55" s="205">
        <v>0</v>
      </c>
      <c r="I55" s="202">
        <f t="shared" si="2"/>
        <v>0</v>
      </c>
      <c r="J55" s="205">
        <v>0</v>
      </c>
      <c r="K55" s="202">
        <f t="shared" si="3"/>
        <v>0</v>
      </c>
      <c r="L55" s="205" t="s">
        <v>53</v>
      </c>
      <c r="M55" s="207" t="s">
        <v>57</v>
      </c>
    </row>
    <row r="56" spans="1:13" ht="82.5" x14ac:dyDescent="0.55000000000000004">
      <c r="A56" s="206" t="s">
        <v>89</v>
      </c>
      <c r="B56" s="205" t="s">
        <v>68</v>
      </c>
      <c r="C56" s="205" t="s">
        <v>20</v>
      </c>
      <c r="D56" s="205">
        <v>80</v>
      </c>
      <c r="E56" s="205">
        <v>114.5</v>
      </c>
      <c r="F56" s="205">
        <v>79932.399999999994</v>
      </c>
      <c r="G56" s="205">
        <v>470</v>
      </c>
      <c r="H56" s="205">
        <v>0.2</v>
      </c>
      <c r="I56" s="202">
        <f t="shared" si="2"/>
        <v>10763</v>
      </c>
      <c r="J56" s="205">
        <v>1.6</v>
      </c>
      <c r="K56" s="202">
        <f t="shared" si="3"/>
        <v>86104</v>
      </c>
      <c r="L56" s="205" t="s">
        <v>53</v>
      </c>
      <c r="M56" s="207" t="s">
        <v>54</v>
      </c>
    </row>
    <row r="57" spans="1:13" ht="55" x14ac:dyDescent="0.55000000000000004">
      <c r="A57" s="206" t="s">
        <v>90</v>
      </c>
      <c r="B57" s="205" t="s">
        <v>91</v>
      </c>
      <c r="C57" s="205" t="s">
        <v>22</v>
      </c>
      <c r="D57" s="205">
        <v>25</v>
      </c>
      <c r="E57" s="205">
        <v>14.8</v>
      </c>
      <c r="F57" s="205">
        <v>7424.4</v>
      </c>
      <c r="G57" s="205">
        <v>474</v>
      </c>
      <c r="H57" s="205">
        <v>0.09</v>
      </c>
      <c r="I57" s="202">
        <f t="shared" si="2"/>
        <v>631.36800000000005</v>
      </c>
      <c r="J57" s="205">
        <v>1.6</v>
      </c>
      <c r="K57" s="202">
        <f t="shared" si="3"/>
        <v>11224.320000000002</v>
      </c>
      <c r="L57" s="205" t="s">
        <v>53</v>
      </c>
      <c r="M57" s="207" t="s">
        <v>54</v>
      </c>
    </row>
    <row r="58" spans="1:13" ht="55" x14ac:dyDescent="0.55000000000000004">
      <c r="A58" s="206" t="s">
        <v>94</v>
      </c>
      <c r="B58" s="205" t="s">
        <v>91</v>
      </c>
      <c r="C58" s="205" t="s">
        <v>28</v>
      </c>
      <c r="D58" s="205">
        <v>2</v>
      </c>
      <c r="E58" s="205">
        <v>1.2</v>
      </c>
      <c r="F58" s="205">
        <v>8553</v>
      </c>
      <c r="G58" s="205">
        <v>7850</v>
      </c>
      <c r="H58" s="205">
        <v>3.1</v>
      </c>
      <c r="I58" s="202">
        <f t="shared" si="2"/>
        <v>29202</v>
      </c>
      <c r="J58" s="205">
        <v>0</v>
      </c>
      <c r="K58" s="202">
        <f t="shared" si="3"/>
        <v>0</v>
      </c>
      <c r="L58" s="205" t="s">
        <v>53</v>
      </c>
      <c r="M58" s="207" t="s">
        <v>54</v>
      </c>
    </row>
    <row r="59" spans="1:13" ht="110" x14ac:dyDescent="0.55000000000000004">
      <c r="A59" s="206" t="s">
        <v>55</v>
      </c>
      <c r="B59" s="205" t="s">
        <v>88</v>
      </c>
      <c r="C59" s="205" t="s">
        <v>56</v>
      </c>
      <c r="D59" s="205">
        <v>100</v>
      </c>
      <c r="E59" s="205">
        <v>6</v>
      </c>
      <c r="F59" s="205">
        <v>14181.2</v>
      </c>
      <c r="G59" s="205">
        <v>2363</v>
      </c>
      <c r="H59" s="205">
        <v>0.14000000000000001</v>
      </c>
      <c r="I59" s="202">
        <f t="shared" si="2"/>
        <v>1984.9200000000003</v>
      </c>
      <c r="J59" s="205">
        <v>0</v>
      </c>
      <c r="K59" s="202">
        <f t="shared" si="3"/>
        <v>0</v>
      </c>
      <c r="L59" s="205" t="s">
        <v>53</v>
      </c>
      <c r="M59" s="207" t="s">
        <v>57</v>
      </c>
    </row>
    <row r="60" spans="1:13" ht="110" x14ac:dyDescent="0.55000000000000004">
      <c r="A60" s="206" t="s">
        <v>50</v>
      </c>
      <c r="B60" s="205" t="s">
        <v>88</v>
      </c>
      <c r="C60" s="205" t="s">
        <v>52</v>
      </c>
      <c r="D60" s="205">
        <v>140</v>
      </c>
      <c r="E60" s="205">
        <v>8.3000000000000007</v>
      </c>
      <c r="F60" s="205">
        <v>4163.8</v>
      </c>
      <c r="G60" s="205">
        <v>61</v>
      </c>
      <c r="H60" s="205">
        <v>1.5</v>
      </c>
      <c r="I60" s="202">
        <f t="shared" si="2"/>
        <v>759.45</v>
      </c>
      <c r="J60" s="205">
        <v>0</v>
      </c>
      <c r="K60" s="202">
        <f t="shared" si="3"/>
        <v>0</v>
      </c>
      <c r="L60" s="205" t="s">
        <v>53</v>
      </c>
      <c r="M60" s="207" t="s">
        <v>54</v>
      </c>
    </row>
    <row r="61" spans="1:13" ht="110" x14ac:dyDescent="0.55000000000000004">
      <c r="A61" s="206" t="s">
        <v>58</v>
      </c>
      <c r="B61" s="205" t="s">
        <v>88</v>
      </c>
      <c r="C61" s="205" t="s">
        <v>32</v>
      </c>
      <c r="D61" s="205">
        <v>300</v>
      </c>
      <c r="E61" s="205">
        <v>16.100000000000001</v>
      </c>
      <c r="F61" s="205">
        <v>38836.300000000003</v>
      </c>
      <c r="G61" s="205">
        <v>2400</v>
      </c>
      <c r="H61" s="205">
        <v>0.19</v>
      </c>
      <c r="I61" s="202">
        <f t="shared" si="2"/>
        <v>7341.6</v>
      </c>
      <c r="J61" s="205">
        <v>0</v>
      </c>
      <c r="K61" s="202">
        <f t="shared" si="3"/>
        <v>0</v>
      </c>
      <c r="L61" s="205" t="s">
        <v>53</v>
      </c>
      <c r="M61" s="207" t="s">
        <v>54</v>
      </c>
    </row>
    <row r="62" spans="1:13" ht="110" x14ac:dyDescent="0.55000000000000004">
      <c r="A62" s="206" t="s">
        <v>55</v>
      </c>
      <c r="B62" s="205" t="s">
        <v>51</v>
      </c>
      <c r="C62" s="205" t="s">
        <v>56</v>
      </c>
      <c r="D62" s="205">
        <v>70</v>
      </c>
      <c r="E62" s="205">
        <v>0</v>
      </c>
      <c r="F62" s="205">
        <v>0</v>
      </c>
      <c r="G62" s="205">
        <v>2363</v>
      </c>
      <c r="H62" s="205">
        <v>0.14000000000000001</v>
      </c>
      <c r="I62" s="202">
        <f t="shared" si="2"/>
        <v>0</v>
      </c>
      <c r="J62" s="205">
        <v>0</v>
      </c>
      <c r="K62" s="202">
        <f t="shared" si="3"/>
        <v>0</v>
      </c>
      <c r="L62" s="205" t="s">
        <v>53</v>
      </c>
      <c r="M62" s="207" t="s">
        <v>57</v>
      </c>
    </row>
    <row r="63" spans="1:13" ht="110" x14ac:dyDescent="0.55000000000000004">
      <c r="A63" s="206" t="s">
        <v>50</v>
      </c>
      <c r="B63" s="205" t="s">
        <v>51</v>
      </c>
      <c r="C63" s="205" t="s">
        <v>52</v>
      </c>
      <c r="D63" s="205">
        <v>250</v>
      </c>
      <c r="E63" s="205">
        <v>0</v>
      </c>
      <c r="F63" s="205">
        <v>0</v>
      </c>
      <c r="G63" s="205">
        <v>61</v>
      </c>
      <c r="H63" s="205">
        <v>1.5</v>
      </c>
      <c r="I63" s="202">
        <f t="shared" si="2"/>
        <v>0</v>
      </c>
      <c r="J63" s="205">
        <v>0</v>
      </c>
      <c r="K63" s="202">
        <f t="shared" si="3"/>
        <v>0</v>
      </c>
      <c r="L63" s="205" t="s">
        <v>53</v>
      </c>
      <c r="M63" s="207" t="s">
        <v>54</v>
      </c>
    </row>
    <row r="64" spans="1:13" ht="110" x14ac:dyDescent="0.55000000000000004">
      <c r="A64" s="206" t="s">
        <v>58</v>
      </c>
      <c r="B64" s="205" t="s">
        <v>51</v>
      </c>
      <c r="C64" s="205" t="s">
        <v>32</v>
      </c>
      <c r="D64" s="205">
        <v>150</v>
      </c>
      <c r="E64" s="205">
        <v>0</v>
      </c>
      <c r="F64" s="205">
        <v>0</v>
      </c>
      <c r="G64" s="205">
        <v>2400</v>
      </c>
      <c r="H64" s="205">
        <v>0.19</v>
      </c>
      <c r="I64" s="202">
        <f t="shared" si="2"/>
        <v>0</v>
      </c>
      <c r="J64" s="205">
        <v>0</v>
      </c>
      <c r="K64" s="202">
        <f t="shared" si="3"/>
        <v>0</v>
      </c>
      <c r="L64" s="205" t="s">
        <v>53</v>
      </c>
      <c r="M64" s="207" t="s">
        <v>54</v>
      </c>
    </row>
    <row r="65" spans="1:13" ht="55" x14ac:dyDescent="0.55000000000000004">
      <c r="A65" s="206" t="s">
        <v>70</v>
      </c>
      <c r="B65" s="205" t="s">
        <v>60</v>
      </c>
      <c r="C65" s="205" t="s">
        <v>71</v>
      </c>
      <c r="D65" s="205">
        <v>25</v>
      </c>
      <c r="E65" s="205">
        <v>1.4</v>
      </c>
      <c r="F65" s="205">
        <v>296</v>
      </c>
      <c r="G65" s="205">
        <v>60</v>
      </c>
      <c r="H65" s="205">
        <v>1.02</v>
      </c>
      <c r="I65" s="202">
        <f t="shared" si="2"/>
        <v>85.68</v>
      </c>
      <c r="J65" s="205">
        <v>1.1000000000000001</v>
      </c>
      <c r="K65" s="202">
        <f t="shared" si="3"/>
        <v>92.4</v>
      </c>
      <c r="L65" s="205" t="s">
        <v>53</v>
      </c>
      <c r="M65" s="207" t="s">
        <v>54</v>
      </c>
    </row>
    <row r="66" spans="1:13" ht="55" x14ac:dyDescent="0.55000000000000004">
      <c r="A66" s="206" t="s">
        <v>59</v>
      </c>
      <c r="B66" s="205" t="s">
        <v>60</v>
      </c>
      <c r="C66" s="205" t="s">
        <v>61</v>
      </c>
      <c r="D66" s="205">
        <v>32</v>
      </c>
      <c r="E66" s="205">
        <v>1.8</v>
      </c>
      <c r="F66" s="205">
        <v>2.2000000000000002</v>
      </c>
      <c r="G66" s="205">
        <v>0</v>
      </c>
      <c r="H66" s="205">
        <v>0</v>
      </c>
      <c r="I66" s="202">
        <f t="shared" si="2"/>
        <v>0</v>
      </c>
      <c r="J66" s="205">
        <v>0</v>
      </c>
      <c r="K66" s="202">
        <f t="shared" si="3"/>
        <v>0</v>
      </c>
      <c r="L66" s="205" t="s">
        <v>53</v>
      </c>
      <c r="M66" s="207" t="s">
        <v>57</v>
      </c>
    </row>
    <row r="67" spans="1:13" ht="82.5" x14ac:dyDescent="0.55000000000000004">
      <c r="A67" s="206" t="s">
        <v>78</v>
      </c>
      <c r="B67" s="205" t="s">
        <v>60</v>
      </c>
      <c r="C67" s="205" t="s">
        <v>26</v>
      </c>
      <c r="D67" s="205">
        <v>28</v>
      </c>
      <c r="E67" s="205">
        <v>1.6</v>
      </c>
      <c r="F67" s="205">
        <v>1160.5999999999999</v>
      </c>
      <c r="G67" s="205">
        <v>474</v>
      </c>
      <c r="H67" s="205">
        <v>0.09</v>
      </c>
      <c r="I67" s="202">
        <f t="shared" si="2"/>
        <v>68.256</v>
      </c>
      <c r="J67" s="205">
        <v>1.6</v>
      </c>
      <c r="K67" s="202">
        <f t="shared" si="3"/>
        <v>1213.4400000000003</v>
      </c>
      <c r="L67" s="205" t="s">
        <v>53</v>
      </c>
      <c r="M67" s="207" t="s">
        <v>57</v>
      </c>
    </row>
    <row r="68" spans="1:13" ht="82.5" x14ac:dyDescent="0.55000000000000004">
      <c r="A68" s="206" t="s">
        <v>50</v>
      </c>
      <c r="B68" s="205" t="s">
        <v>131</v>
      </c>
      <c r="C68" s="205" t="s">
        <v>52</v>
      </c>
      <c r="D68" s="205">
        <v>125</v>
      </c>
      <c r="E68" s="205">
        <v>138.5</v>
      </c>
      <c r="F68" s="205">
        <v>69401.5</v>
      </c>
      <c r="G68" s="205">
        <v>61</v>
      </c>
      <c r="H68" s="205">
        <v>1.5</v>
      </c>
      <c r="I68" s="202">
        <f t="shared" si="2"/>
        <v>12672.75</v>
      </c>
      <c r="J68" s="205">
        <v>0</v>
      </c>
      <c r="K68" s="202">
        <f t="shared" si="3"/>
        <v>0</v>
      </c>
      <c r="L68" s="205" t="s">
        <v>53</v>
      </c>
      <c r="M68" s="207" t="s">
        <v>54</v>
      </c>
    </row>
    <row r="69" spans="1:13" ht="55" x14ac:dyDescent="0.55000000000000004">
      <c r="A69" s="206" t="s">
        <v>59</v>
      </c>
      <c r="B69" s="205" t="s">
        <v>131</v>
      </c>
      <c r="C69" s="205" t="s">
        <v>61</v>
      </c>
      <c r="D69" s="205">
        <v>32</v>
      </c>
      <c r="E69" s="205">
        <v>36</v>
      </c>
      <c r="F69" s="205">
        <v>43</v>
      </c>
      <c r="G69" s="205">
        <v>0</v>
      </c>
      <c r="H69" s="205">
        <v>0</v>
      </c>
      <c r="I69" s="202">
        <f t="shared" si="2"/>
        <v>0</v>
      </c>
      <c r="J69" s="205">
        <v>0</v>
      </c>
      <c r="K69" s="202">
        <f t="shared" si="3"/>
        <v>0</v>
      </c>
      <c r="L69" s="205" t="s">
        <v>53</v>
      </c>
      <c r="M69" s="207" t="s">
        <v>57</v>
      </c>
    </row>
    <row r="70" spans="1:13" ht="55" x14ac:dyDescent="0.55000000000000004">
      <c r="A70" s="206" t="s">
        <v>79</v>
      </c>
      <c r="B70" s="205" t="s">
        <v>131</v>
      </c>
      <c r="C70" s="205" t="s">
        <v>15</v>
      </c>
      <c r="D70" s="205">
        <v>15</v>
      </c>
      <c r="E70" s="205">
        <v>12.4</v>
      </c>
      <c r="F70" s="205">
        <v>10979.1</v>
      </c>
      <c r="G70" s="205">
        <v>875</v>
      </c>
      <c r="H70" s="205">
        <v>0.28000000000000003</v>
      </c>
      <c r="I70" s="202">
        <f t="shared" ref="I70:I85" si="4">(G70*E70)*H70</f>
        <v>3038.0000000000005</v>
      </c>
      <c r="J70" s="205">
        <v>0</v>
      </c>
      <c r="K70" s="202">
        <f t="shared" ref="K70:K85" si="5">(G70*E70)*J70</f>
        <v>0</v>
      </c>
      <c r="L70" s="205" t="s">
        <v>53</v>
      </c>
      <c r="M70" s="207" t="s">
        <v>57</v>
      </c>
    </row>
    <row r="71" spans="1:13" ht="55" x14ac:dyDescent="0.55000000000000004">
      <c r="A71" s="206" t="s">
        <v>89</v>
      </c>
      <c r="B71" s="205" t="s">
        <v>131</v>
      </c>
      <c r="C71" s="205" t="s">
        <v>20</v>
      </c>
      <c r="D71" s="205">
        <v>400</v>
      </c>
      <c r="E71" s="205">
        <v>431.5</v>
      </c>
      <c r="F71" s="205">
        <v>301903.90000000002</v>
      </c>
      <c r="G71" s="205">
        <v>470</v>
      </c>
      <c r="H71" s="205">
        <v>0.2</v>
      </c>
      <c r="I71" s="202">
        <f t="shared" si="4"/>
        <v>40561</v>
      </c>
      <c r="J71" s="205">
        <v>1.6</v>
      </c>
      <c r="K71" s="202">
        <f t="shared" si="5"/>
        <v>324488</v>
      </c>
      <c r="L71" s="205" t="s">
        <v>53</v>
      </c>
      <c r="M71" s="207" t="s">
        <v>54</v>
      </c>
    </row>
    <row r="72" spans="1:13" ht="82.5" x14ac:dyDescent="0.55000000000000004">
      <c r="A72" s="206" t="s">
        <v>78</v>
      </c>
      <c r="B72" s="205" t="s">
        <v>131</v>
      </c>
      <c r="C72" s="205" t="s">
        <v>26</v>
      </c>
      <c r="D72" s="205">
        <v>28</v>
      </c>
      <c r="E72" s="205">
        <v>31.5</v>
      </c>
      <c r="F72" s="205">
        <v>22023</v>
      </c>
      <c r="G72" s="205">
        <v>474</v>
      </c>
      <c r="H72" s="205">
        <v>0.09</v>
      </c>
      <c r="I72" s="202">
        <f t="shared" si="4"/>
        <v>1343.79</v>
      </c>
      <c r="J72" s="205">
        <v>1.6</v>
      </c>
      <c r="K72" s="202">
        <f t="shared" si="5"/>
        <v>23889.600000000002</v>
      </c>
      <c r="L72" s="205" t="s">
        <v>53</v>
      </c>
      <c r="M72" s="207" t="s">
        <v>57</v>
      </c>
    </row>
    <row r="73" spans="1:13" ht="110" x14ac:dyDescent="0.55000000000000004">
      <c r="A73" s="206" t="s">
        <v>95</v>
      </c>
      <c r="B73" s="205" t="s">
        <v>106</v>
      </c>
      <c r="C73" s="205" t="s">
        <v>30</v>
      </c>
      <c r="D73" s="205">
        <v>440</v>
      </c>
      <c r="E73" s="205">
        <v>31.6</v>
      </c>
      <c r="F73" s="205">
        <v>75898.3</v>
      </c>
      <c r="G73" s="205">
        <v>2375</v>
      </c>
      <c r="H73" s="205">
        <v>0.15</v>
      </c>
      <c r="I73" s="202">
        <f t="shared" si="4"/>
        <v>11257.5</v>
      </c>
      <c r="J73" s="205">
        <v>0</v>
      </c>
      <c r="K73" s="202">
        <f t="shared" si="5"/>
        <v>0</v>
      </c>
      <c r="L73" s="205" t="s">
        <v>53</v>
      </c>
      <c r="M73" s="207" t="s">
        <v>54</v>
      </c>
    </row>
    <row r="74" spans="1:13" ht="55" x14ac:dyDescent="0.55000000000000004">
      <c r="A74" s="206" t="s">
        <v>72</v>
      </c>
      <c r="B74" s="205" t="s">
        <v>77</v>
      </c>
      <c r="C74" s="205" t="s">
        <v>74</v>
      </c>
      <c r="D74" s="205">
        <v>140</v>
      </c>
      <c r="E74" s="205">
        <v>37.6</v>
      </c>
      <c r="F74" s="205">
        <v>1051.9000000000001</v>
      </c>
      <c r="G74" s="205">
        <v>16</v>
      </c>
      <c r="H74" s="205">
        <v>3.5</v>
      </c>
      <c r="I74" s="202">
        <f t="shared" si="4"/>
        <v>2105.6</v>
      </c>
      <c r="J74" s="205">
        <v>0</v>
      </c>
      <c r="K74" s="202">
        <f t="shared" si="5"/>
        <v>0</v>
      </c>
      <c r="L74" s="205" t="s">
        <v>53</v>
      </c>
      <c r="M74" s="207" t="s">
        <v>54</v>
      </c>
    </row>
    <row r="75" spans="1:13" ht="110" x14ac:dyDescent="0.55000000000000004">
      <c r="A75" s="206" t="s">
        <v>95</v>
      </c>
      <c r="B75" s="205" t="s">
        <v>77</v>
      </c>
      <c r="C75" s="205" t="s">
        <v>30</v>
      </c>
      <c r="D75" s="205">
        <v>100</v>
      </c>
      <c r="E75" s="205">
        <v>27.1</v>
      </c>
      <c r="F75" s="205">
        <v>65022.3</v>
      </c>
      <c r="G75" s="205">
        <v>2375</v>
      </c>
      <c r="H75" s="205">
        <v>0.15</v>
      </c>
      <c r="I75" s="202">
        <f t="shared" si="4"/>
        <v>9654.375</v>
      </c>
      <c r="J75" s="205">
        <v>0</v>
      </c>
      <c r="K75" s="202">
        <f t="shared" si="5"/>
        <v>0</v>
      </c>
      <c r="L75" s="205" t="s">
        <v>53</v>
      </c>
      <c r="M75" s="207" t="s">
        <v>54</v>
      </c>
    </row>
    <row r="76" spans="1:13" ht="110" x14ac:dyDescent="0.55000000000000004">
      <c r="A76" s="206" t="s">
        <v>95</v>
      </c>
      <c r="B76" s="205" t="s">
        <v>77</v>
      </c>
      <c r="C76" s="205" t="s">
        <v>30</v>
      </c>
      <c r="D76" s="205">
        <v>200</v>
      </c>
      <c r="E76" s="205">
        <v>52.9</v>
      </c>
      <c r="F76" s="205">
        <v>126894.5</v>
      </c>
      <c r="G76" s="205">
        <v>2375</v>
      </c>
      <c r="H76" s="205">
        <v>0.15</v>
      </c>
      <c r="I76" s="202">
        <f t="shared" si="4"/>
        <v>18845.625</v>
      </c>
      <c r="J76" s="205">
        <v>0</v>
      </c>
      <c r="K76" s="202">
        <f t="shared" si="5"/>
        <v>0</v>
      </c>
      <c r="L76" s="205" t="s">
        <v>53</v>
      </c>
      <c r="M76" s="207" t="s">
        <v>54</v>
      </c>
    </row>
    <row r="77" spans="1:13" ht="110" x14ac:dyDescent="0.55000000000000004">
      <c r="A77" s="206" t="s">
        <v>95</v>
      </c>
      <c r="B77" s="205" t="s">
        <v>107</v>
      </c>
      <c r="C77" s="205" t="s">
        <v>31</v>
      </c>
      <c r="D77" s="205">
        <v>270</v>
      </c>
      <c r="E77" s="205">
        <v>89</v>
      </c>
      <c r="F77" s="205">
        <v>115655.8</v>
      </c>
      <c r="G77" s="205">
        <v>1410</v>
      </c>
      <c r="H77" s="205">
        <v>0.17</v>
      </c>
      <c r="I77" s="202">
        <f t="shared" si="4"/>
        <v>21333.300000000003</v>
      </c>
      <c r="J77" s="205">
        <v>0</v>
      </c>
      <c r="K77" s="202">
        <f t="shared" si="5"/>
        <v>0</v>
      </c>
      <c r="L77" s="205" t="s">
        <v>53</v>
      </c>
      <c r="M77" s="207" t="s">
        <v>54</v>
      </c>
    </row>
    <row r="78" spans="1:13" ht="82.5" x14ac:dyDescent="0.55000000000000004">
      <c r="A78" s="206" t="s">
        <v>55</v>
      </c>
      <c r="B78" s="205" t="s">
        <v>73</v>
      </c>
      <c r="C78" s="205" t="s">
        <v>56</v>
      </c>
      <c r="D78" s="205">
        <v>150</v>
      </c>
      <c r="E78" s="205">
        <v>8.3000000000000007</v>
      </c>
      <c r="F78" s="205">
        <v>19539.400000000001</v>
      </c>
      <c r="G78" s="205">
        <v>2363</v>
      </c>
      <c r="H78" s="205">
        <v>0.14000000000000001</v>
      </c>
      <c r="I78" s="202">
        <f t="shared" si="4"/>
        <v>2745.8060000000005</v>
      </c>
      <c r="J78" s="205">
        <v>0</v>
      </c>
      <c r="K78" s="202">
        <f t="shared" si="5"/>
        <v>0</v>
      </c>
      <c r="L78" s="205" t="s">
        <v>53</v>
      </c>
      <c r="M78" s="207" t="s">
        <v>57</v>
      </c>
    </row>
    <row r="79" spans="1:13" ht="82.5" x14ac:dyDescent="0.55000000000000004">
      <c r="A79" s="206" t="s">
        <v>72</v>
      </c>
      <c r="B79" s="205" t="s">
        <v>73</v>
      </c>
      <c r="C79" s="205" t="s">
        <v>74</v>
      </c>
      <c r="D79" s="205">
        <v>250</v>
      </c>
      <c r="E79" s="205">
        <v>13.9</v>
      </c>
      <c r="F79" s="205">
        <v>388.1</v>
      </c>
      <c r="G79" s="205">
        <v>16</v>
      </c>
      <c r="H79" s="205">
        <v>3.5</v>
      </c>
      <c r="I79" s="202">
        <f t="shared" si="4"/>
        <v>778.4</v>
      </c>
      <c r="J79" s="205">
        <v>0</v>
      </c>
      <c r="K79" s="202">
        <f t="shared" si="5"/>
        <v>0</v>
      </c>
      <c r="L79" s="205" t="s">
        <v>53</v>
      </c>
      <c r="M79" s="207" t="s">
        <v>54</v>
      </c>
    </row>
    <row r="80" spans="1:13" ht="82.5" x14ac:dyDescent="0.55000000000000004">
      <c r="A80" s="206" t="s">
        <v>55</v>
      </c>
      <c r="B80" s="205" t="s">
        <v>84</v>
      </c>
      <c r="C80" s="205" t="s">
        <v>56</v>
      </c>
      <c r="D80" s="205">
        <v>100</v>
      </c>
      <c r="E80" s="205">
        <v>34.700000000000003</v>
      </c>
      <c r="F80" s="205">
        <v>81845.100000000006</v>
      </c>
      <c r="G80" s="205">
        <v>2363</v>
      </c>
      <c r="H80" s="205">
        <v>0.14000000000000001</v>
      </c>
      <c r="I80" s="202">
        <f t="shared" si="4"/>
        <v>11479.454000000002</v>
      </c>
      <c r="J80" s="205">
        <v>0</v>
      </c>
      <c r="K80" s="202">
        <f t="shared" si="5"/>
        <v>0</v>
      </c>
      <c r="L80" s="205" t="s">
        <v>53</v>
      </c>
      <c r="M80" s="207" t="s">
        <v>57</v>
      </c>
    </row>
    <row r="81" spans="1:13" ht="55" x14ac:dyDescent="0.55000000000000004">
      <c r="A81" s="206" t="s">
        <v>72</v>
      </c>
      <c r="B81" s="205" t="s">
        <v>84</v>
      </c>
      <c r="C81" s="205" t="s">
        <v>74</v>
      </c>
      <c r="D81" s="205">
        <v>300</v>
      </c>
      <c r="E81" s="205">
        <v>104.5</v>
      </c>
      <c r="F81" s="205">
        <v>2917.9</v>
      </c>
      <c r="G81" s="205">
        <v>16</v>
      </c>
      <c r="H81" s="205">
        <v>3.5</v>
      </c>
      <c r="I81" s="202">
        <f t="shared" si="4"/>
        <v>5852</v>
      </c>
      <c r="J81" s="205">
        <v>0</v>
      </c>
      <c r="K81" s="202">
        <f t="shared" si="5"/>
        <v>0</v>
      </c>
      <c r="L81" s="205" t="s">
        <v>53</v>
      </c>
      <c r="M81" s="207" t="s">
        <v>54</v>
      </c>
    </row>
    <row r="82" spans="1:13" ht="55" x14ac:dyDescent="0.55000000000000004">
      <c r="A82" s="206" t="s">
        <v>81</v>
      </c>
      <c r="B82" s="205" t="s">
        <v>82</v>
      </c>
      <c r="C82" s="205" t="s">
        <v>18</v>
      </c>
      <c r="D82" s="205">
        <v>5</v>
      </c>
      <c r="E82" s="205">
        <v>0</v>
      </c>
      <c r="F82" s="205">
        <v>1523.5</v>
      </c>
      <c r="G82" s="205">
        <v>1620</v>
      </c>
      <c r="H82" s="205">
        <v>0.16</v>
      </c>
      <c r="I82" s="202">
        <f t="shared" si="4"/>
        <v>0</v>
      </c>
      <c r="J82" s="205">
        <v>0</v>
      </c>
      <c r="K82" s="202">
        <f t="shared" si="5"/>
        <v>0</v>
      </c>
      <c r="L82" s="205" t="s">
        <v>53</v>
      </c>
      <c r="M82" s="207" t="s">
        <v>83</v>
      </c>
    </row>
    <row r="83" spans="1:13" ht="55" x14ac:dyDescent="0.55000000000000004">
      <c r="A83" s="206" t="s">
        <v>89</v>
      </c>
      <c r="B83" s="205" t="s">
        <v>82</v>
      </c>
      <c r="C83" s="205" t="s">
        <v>24</v>
      </c>
      <c r="D83" s="205">
        <v>51</v>
      </c>
      <c r="E83" s="205">
        <v>96.8</v>
      </c>
      <c r="F83" s="205">
        <v>61423.6</v>
      </c>
      <c r="G83" s="205">
        <v>470</v>
      </c>
      <c r="H83" s="205">
        <v>0.36</v>
      </c>
      <c r="I83" s="202">
        <f t="shared" si="4"/>
        <v>16378.56</v>
      </c>
      <c r="J83" s="205">
        <v>1.6</v>
      </c>
      <c r="K83" s="202">
        <f t="shared" si="5"/>
        <v>72793.600000000006</v>
      </c>
      <c r="L83" s="205" t="s">
        <v>53</v>
      </c>
      <c r="M83" s="207" t="s">
        <v>54</v>
      </c>
    </row>
    <row r="84" spans="1:13" ht="110" x14ac:dyDescent="0.55000000000000004">
      <c r="A84" s="206" t="s">
        <v>58</v>
      </c>
      <c r="B84" s="205" t="s">
        <v>82</v>
      </c>
      <c r="C84" s="205" t="s">
        <v>32</v>
      </c>
      <c r="D84" s="205">
        <v>540</v>
      </c>
      <c r="E84" s="205">
        <v>17.600000000000001</v>
      </c>
      <c r="F84" s="205">
        <v>42896.4</v>
      </c>
      <c r="G84" s="205">
        <v>2400</v>
      </c>
      <c r="H84" s="205">
        <v>0.19</v>
      </c>
      <c r="I84" s="202">
        <f t="shared" si="4"/>
        <v>8025.6</v>
      </c>
      <c r="J84" s="205">
        <v>0</v>
      </c>
      <c r="K84" s="202">
        <f t="shared" si="5"/>
        <v>0</v>
      </c>
      <c r="L84" s="205" t="s">
        <v>53</v>
      </c>
      <c r="M84" s="207" t="s">
        <v>54</v>
      </c>
    </row>
    <row r="85" spans="1:13" ht="110" x14ac:dyDescent="0.55000000000000004">
      <c r="A85" s="206" t="s">
        <v>58</v>
      </c>
      <c r="B85" s="205" t="s">
        <v>82</v>
      </c>
      <c r="C85" s="205" t="s">
        <v>32</v>
      </c>
      <c r="D85" s="205">
        <v>740</v>
      </c>
      <c r="E85" s="205">
        <v>20.399999999999999</v>
      </c>
      <c r="F85" s="205">
        <v>49174.7</v>
      </c>
      <c r="G85" s="205">
        <v>2400</v>
      </c>
      <c r="H85" s="205">
        <v>0.19</v>
      </c>
      <c r="I85" s="202">
        <f t="shared" si="4"/>
        <v>9302.4</v>
      </c>
      <c r="J85" s="205">
        <v>0</v>
      </c>
      <c r="K85" s="202">
        <f t="shared" si="5"/>
        <v>0</v>
      </c>
      <c r="L85" s="205" t="s">
        <v>53</v>
      </c>
      <c r="M85" s="207" t="s">
        <v>54</v>
      </c>
    </row>
    <row r="86" spans="1:13" ht="27.5" x14ac:dyDescent="0.55000000000000004">
      <c r="A86" s="205" t="s">
        <v>109</v>
      </c>
      <c r="B86" s="205" t="s">
        <v>109</v>
      </c>
      <c r="C86" s="205" t="s">
        <v>109</v>
      </c>
      <c r="D86" s="205" t="s">
        <v>109</v>
      </c>
      <c r="E86" s="205">
        <v>4378</v>
      </c>
      <c r="F86" s="205" t="s">
        <v>109</v>
      </c>
      <c r="G86" s="205" t="s">
        <v>109</v>
      </c>
      <c r="H86" s="205">
        <v>4378</v>
      </c>
      <c r="I86" s="209">
        <f>SUM(I6:I85)</f>
        <v>392485.54299999995</v>
      </c>
      <c r="J86" s="209"/>
      <c r="K86" s="209">
        <f t="shared" ref="K86" si="6">SUM(K6:K85)</f>
        <v>737734.96</v>
      </c>
      <c r="L86" s="205" t="s">
        <v>109</v>
      </c>
      <c r="M86" s="205" t="s">
        <v>109</v>
      </c>
    </row>
    <row r="87" spans="1:13" ht="24.5" x14ac:dyDescent="0.55000000000000004">
      <c r="A87" s="202"/>
      <c r="B87" s="202"/>
      <c r="C87" s="202"/>
      <c r="D87" s="202"/>
      <c r="E87" s="202"/>
      <c r="F87" s="202"/>
      <c r="G87" s="202"/>
      <c r="H87" s="202"/>
      <c r="I87" s="202"/>
      <c r="J87" s="202"/>
      <c r="K87" s="202"/>
      <c r="L87" s="202"/>
      <c r="M87" s="202"/>
    </row>
    <row r="88" spans="1:13" ht="24.5" x14ac:dyDescent="0.55000000000000004">
      <c r="A88" s="202"/>
      <c r="B88" s="202"/>
      <c r="C88" s="202"/>
      <c r="D88" s="202"/>
      <c r="E88" s="202"/>
      <c r="F88" s="202"/>
      <c r="G88" s="202"/>
      <c r="H88" s="202"/>
      <c r="I88" s="202"/>
      <c r="J88" s="209">
        <f>I86-K86</f>
        <v>-345249.41700000002</v>
      </c>
      <c r="K88" s="202" t="s">
        <v>44</v>
      </c>
      <c r="L88" s="202"/>
      <c r="M88" s="202"/>
    </row>
    <row r="89" spans="1:13" ht="24.5" x14ac:dyDescent="0.55000000000000004">
      <c r="A89" s="202"/>
      <c r="B89" s="202"/>
      <c r="C89" s="202"/>
      <c r="D89" s="202"/>
      <c r="E89" s="202"/>
      <c r="F89" s="202"/>
      <c r="G89" s="202"/>
      <c r="H89" s="202"/>
      <c r="I89" s="202"/>
      <c r="J89" s="209">
        <f>J88/1000</f>
        <v>-345.24941699999999</v>
      </c>
      <c r="K89" s="202" t="s">
        <v>110</v>
      </c>
      <c r="L89" s="202"/>
      <c r="M89" s="202"/>
    </row>
    <row r="90" spans="1:13" ht="24.5" x14ac:dyDescent="0.55000000000000004">
      <c r="A90" s="202"/>
      <c r="B90" s="202"/>
      <c r="C90" s="202"/>
      <c r="D90" s="202"/>
      <c r="E90" s="202"/>
      <c r="F90" s="202"/>
      <c r="G90" s="202"/>
      <c r="H90" s="202"/>
      <c r="I90" s="202"/>
      <c r="J90" s="202"/>
      <c r="K90" s="202"/>
      <c r="L90" s="202"/>
      <c r="M90" s="202"/>
    </row>
    <row r="91" spans="1:13" ht="24.5" x14ac:dyDescent="0.55000000000000004">
      <c r="A91" s="202"/>
      <c r="B91" s="202"/>
      <c r="C91" s="202"/>
      <c r="D91" s="202"/>
      <c r="E91" s="202"/>
      <c r="F91" s="202"/>
      <c r="G91" s="202"/>
      <c r="H91" s="202"/>
      <c r="I91" s="202"/>
      <c r="J91" s="202"/>
      <c r="K91" s="202"/>
      <c r="L91" s="202"/>
      <c r="M91" s="202"/>
    </row>
    <row r="92" spans="1:13" ht="24.5" x14ac:dyDescent="0.55000000000000004">
      <c r="A92" s="202"/>
      <c r="B92" s="202"/>
      <c r="C92" s="202"/>
      <c r="D92" s="202"/>
      <c r="E92" s="202"/>
      <c r="F92" s="202"/>
      <c r="G92" s="202"/>
      <c r="H92" s="202"/>
      <c r="I92" s="202"/>
      <c r="J92" s="202"/>
      <c r="K92" s="202"/>
      <c r="L92" s="202"/>
      <c r="M92" s="202"/>
    </row>
    <row r="93" spans="1:13" ht="24.5" x14ac:dyDescent="0.55000000000000004">
      <c r="A93" s="202"/>
      <c r="B93" s="202"/>
      <c r="C93" s="202"/>
      <c r="D93" s="202"/>
      <c r="E93" s="202"/>
      <c r="F93" s="202"/>
      <c r="G93" s="202"/>
      <c r="H93" s="202"/>
      <c r="I93" s="202"/>
      <c r="J93" s="202"/>
      <c r="K93" s="202"/>
      <c r="L93" s="202"/>
      <c r="M93" s="202"/>
    </row>
    <row r="94" spans="1:13" ht="24.5" x14ac:dyDescent="0.55000000000000004">
      <c r="A94" s="202"/>
      <c r="B94" s="202"/>
      <c r="C94" s="202"/>
      <c r="D94" s="202"/>
      <c r="E94" s="202"/>
      <c r="F94" s="202"/>
      <c r="G94" s="202"/>
      <c r="H94" s="202"/>
      <c r="I94" s="202"/>
      <c r="J94" s="202"/>
      <c r="K94" s="202"/>
      <c r="L94" s="202"/>
      <c r="M94" s="202"/>
    </row>
    <row r="99" spans="3:15" ht="137.5" x14ac:dyDescent="0.35">
      <c r="C99" s="205" t="s">
        <v>89</v>
      </c>
      <c r="D99" s="205" t="s">
        <v>82</v>
      </c>
      <c r="E99" s="205" t="s">
        <v>24</v>
      </c>
      <c r="F99" s="205">
        <v>51</v>
      </c>
      <c r="G99" s="205">
        <v>96.8</v>
      </c>
      <c r="H99" s="205">
        <v>61423.6</v>
      </c>
      <c r="I99" s="205">
        <v>470</v>
      </c>
      <c r="J99" s="205">
        <v>0.36</v>
      </c>
      <c r="K99" s="236">
        <f t="shared" ref="K99:K130" si="7">(I99*G99)*J99</f>
        <v>16378.56</v>
      </c>
      <c r="L99" s="205">
        <v>1.6</v>
      </c>
      <c r="M99" s="236">
        <f t="shared" ref="M99:M130" si="8">(I99*G99)*L99</f>
        <v>72793.600000000006</v>
      </c>
      <c r="N99" s="205" t="s">
        <v>53</v>
      </c>
      <c r="O99" s="205" t="s">
        <v>54</v>
      </c>
    </row>
    <row r="100" spans="3:15" ht="137.5" x14ac:dyDescent="0.35">
      <c r="C100" s="205" t="s">
        <v>58</v>
      </c>
      <c r="D100" s="205" t="s">
        <v>82</v>
      </c>
      <c r="E100" s="205" t="s">
        <v>32</v>
      </c>
      <c r="F100" s="205">
        <v>540</v>
      </c>
      <c r="G100" s="205">
        <v>17.600000000000001</v>
      </c>
      <c r="H100" s="205">
        <v>42896.4</v>
      </c>
      <c r="I100" s="205">
        <v>2400</v>
      </c>
      <c r="J100" s="205">
        <v>0.19</v>
      </c>
      <c r="K100" s="236">
        <f t="shared" si="7"/>
        <v>8025.6</v>
      </c>
      <c r="L100" s="205">
        <v>0</v>
      </c>
      <c r="M100" s="236">
        <f t="shared" si="8"/>
        <v>0</v>
      </c>
      <c r="N100" s="205" t="s">
        <v>53</v>
      </c>
      <c r="O100" s="205" t="s">
        <v>54</v>
      </c>
    </row>
    <row r="101" spans="3:15" ht="137.5" x14ac:dyDescent="0.35">
      <c r="C101" s="205" t="s">
        <v>58</v>
      </c>
      <c r="D101" s="205" t="s">
        <v>82</v>
      </c>
      <c r="E101" s="205" t="s">
        <v>32</v>
      </c>
      <c r="F101" s="205">
        <v>740</v>
      </c>
      <c r="G101" s="205">
        <v>20.399999999999999</v>
      </c>
      <c r="H101" s="205">
        <v>49174.7</v>
      </c>
      <c r="I101" s="205">
        <v>2400</v>
      </c>
      <c r="J101" s="205">
        <v>0.19</v>
      </c>
      <c r="K101" s="236">
        <f t="shared" si="7"/>
        <v>9302.4</v>
      </c>
      <c r="L101" s="205">
        <v>0</v>
      </c>
      <c r="M101" s="236">
        <f t="shared" si="8"/>
        <v>0</v>
      </c>
      <c r="N101" s="205" t="s">
        <v>53</v>
      </c>
      <c r="O101" s="205" t="s">
        <v>54</v>
      </c>
    </row>
    <row r="102" spans="3:15" ht="137.5" x14ac:dyDescent="0.35">
      <c r="C102" s="205" t="s">
        <v>81</v>
      </c>
      <c r="D102" s="205" t="s">
        <v>82</v>
      </c>
      <c r="E102" s="205" t="s">
        <v>18</v>
      </c>
      <c r="F102" s="205">
        <v>5</v>
      </c>
      <c r="G102" s="205">
        <v>0</v>
      </c>
      <c r="H102" s="205">
        <v>1523.5</v>
      </c>
      <c r="I102" s="205">
        <v>1620</v>
      </c>
      <c r="J102" s="205">
        <v>0.16</v>
      </c>
      <c r="K102" s="236">
        <f t="shared" si="7"/>
        <v>0</v>
      </c>
      <c r="L102" s="205">
        <v>0</v>
      </c>
      <c r="M102" s="236">
        <f t="shared" si="8"/>
        <v>0</v>
      </c>
      <c r="N102" s="205" t="s">
        <v>53</v>
      </c>
      <c r="O102" s="205" t="s">
        <v>83</v>
      </c>
    </row>
    <row r="103" spans="3:15" ht="137.5" x14ac:dyDescent="0.35">
      <c r="C103" s="205" t="s">
        <v>72</v>
      </c>
      <c r="D103" s="205" t="s">
        <v>84</v>
      </c>
      <c r="E103" s="205" t="s">
        <v>74</v>
      </c>
      <c r="F103" s="205">
        <v>300</v>
      </c>
      <c r="G103" s="205">
        <v>104.5</v>
      </c>
      <c r="H103" s="205">
        <v>2917.9</v>
      </c>
      <c r="I103" s="205">
        <v>16</v>
      </c>
      <c r="J103" s="205">
        <v>3.5</v>
      </c>
      <c r="K103" s="236">
        <f t="shared" si="7"/>
        <v>5852</v>
      </c>
      <c r="L103" s="205">
        <v>0</v>
      </c>
      <c r="M103" s="236">
        <f t="shared" si="8"/>
        <v>0</v>
      </c>
      <c r="N103" s="205" t="s">
        <v>53</v>
      </c>
      <c r="O103" s="205" t="s">
        <v>54</v>
      </c>
    </row>
    <row r="104" spans="3:15" ht="137.5" x14ac:dyDescent="0.35">
      <c r="C104" s="205" t="s">
        <v>55</v>
      </c>
      <c r="D104" s="205" t="s">
        <v>84</v>
      </c>
      <c r="E104" s="205" t="s">
        <v>56</v>
      </c>
      <c r="F104" s="205">
        <v>100</v>
      </c>
      <c r="G104" s="205">
        <v>34.700000000000003</v>
      </c>
      <c r="H104" s="205">
        <v>81845.100000000006</v>
      </c>
      <c r="I104" s="205">
        <v>2363</v>
      </c>
      <c r="J104" s="205">
        <v>0.14000000000000001</v>
      </c>
      <c r="K104" s="236">
        <f t="shared" si="7"/>
        <v>11479.454000000002</v>
      </c>
      <c r="L104" s="205">
        <v>0</v>
      </c>
      <c r="M104" s="236">
        <f t="shared" si="8"/>
        <v>0</v>
      </c>
      <c r="N104" s="205" t="s">
        <v>53</v>
      </c>
      <c r="O104" s="205" t="s">
        <v>57</v>
      </c>
    </row>
    <row r="105" spans="3:15" ht="137.5" x14ac:dyDescent="0.35">
      <c r="C105" s="205" t="s">
        <v>72</v>
      </c>
      <c r="D105" s="205" t="s">
        <v>73</v>
      </c>
      <c r="E105" s="205" t="s">
        <v>74</v>
      </c>
      <c r="F105" s="205">
        <v>250</v>
      </c>
      <c r="G105" s="205">
        <v>13.9</v>
      </c>
      <c r="H105" s="205">
        <v>388.1</v>
      </c>
      <c r="I105" s="205">
        <v>16</v>
      </c>
      <c r="J105" s="205">
        <v>3.5</v>
      </c>
      <c r="K105" s="236">
        <f t="shared" si="7"/>
        <v>778.4</v>
      </c>
      <c r="L105" s="205">
        <v>0</v>
      </c>
      <c r="M105" s="236">
        <f t="shared" si="8"/>
        <v>0</v>
      </c>
      <c r="N105" s="205" t="s">
        <v>53</v>
      </c>
      <c r="O105" s="205" t="s">
        <v>54</v>
      </c>
    </row>
    <row r="106" spans="3:15" ht="137.5" x14ac:dyDescent="0.35">
      <c r="C106" s="205" t="s">
        <v>55</v>
      </c>
      <c r="D106" s="205" t="s">
        <v>73</v>
      </c>
      <c r="E106" s="205" t="s">
        <v>56</v>
      </c>
      <c r="F106" s="205">
        <v>150</v>
      </c>
      <c r="G106" s="205">
        <v>8.3000000000000007</v>
      </c>
      <c r="H106" s="205">
        <v>19539.400000000001</v>
      </c>
      <c r="I106" s="205">
        <v>2363</v>
      </c>
      <c r="J106" s="205">
        <v>0.14000000000000001</v>
      </c>
      <c r="K106" s="236">
        <f t="shared" si="7"/>
        <v>2745.8060000000005</v>
      </c>
      <c r="L106" s="205">
        <v>0</v>
      </c>
      <c r="M106" s="236">
        <f t="shared" si="8"/>
        <v>0</v>
      </c>
      <c r="N106" s="205" t="s">
        <v>53</v>
      </c>
      <c r="O106" s="205" t="s">
        <v>57</v>
      </c>
    </row>
    <row r="107" spans="3:15" ht="137.5" x14ac:dyDescent="0.35">
      <c r="C107" s="205" t="s">
        <v>95</v>
      </c>
      <c r="D107" s="205" t="s">
        <v>107</v>
      </c>
      <c r="E107" s="205" t="s">
        <v>31</v>
      </c>
      <c r="F107" s="205">
        <v>270</v>
      </c>
      <c r="G107" s="205">
        <v>89</v>
      </c>
      <c r="H107" s="205">
        <v>115655.8</v>
      </c>
      <c r="I107" s="205">
        <v>1410</v>
      </c>
      <c r="J107" s="205">
        <v>0.17</v>
      </c>
      <c r="K107" s="236">
        <f t="shared" si="7"/>
        <v>21333.300000000003</v>
      </c>
      <c r="L107" s="205">
        <v>0</v>
      </c>
      <c r="M107" s="236">
        <f t="shared" si="8"/>
        <v>0</v>
      </c>
      <c r="N107" s="205" t="s">
        <v>53</v>
      </c>
      <c r="O107" s="205" t="s">
        <v>54</v>
      </c>
    </row>
    <row r="108" spans="3:15" ht="137.5" x14ac:dyDescent="0.35">
      <c r="C108" s="205" t="s">
        <v>72</v>
      </c>
      <c r="D108" s="205" t="s">
        <v>77</v>
      </c>
      <c r="E108" s="205" t="s">
        <v>74</v>
      </c>
      <c r="F108" s="205">
        <v>140</v>
      </c>
      <c r="G108" s="205">
        <v>37.6</v>
      </c>
      <c r="H108" s="205">
        <v>1051.9000000000001</v>
      </c>
      <c r="I108" s="205">
        <v>16</v>
      </c>
      <c r="J108" s="205">
        <v>3.5</v>
      </c>
      <c r="K108" s="236">
        <f t="shared" si="7"/>
        <v>2105.6</v>
      </c>
      <c r="L108" s="205">
        <v>0</v>
      </c>
      <c r="M108" s="236">
        <f t="shared" si="8"/>
        <v>0</v>
      </c>
      <c r="N108" s="205" t="s">
        <v>53</v>
      </c>
      <c r="O108" s="205" t="s">
        <v>54</v>
      </c>
    </row>
    <row r="109" spans="3:15" ht="137.5" x14ac:dyDescent="0.35">
      <c r="C109" s="205" t="s">
        <v>95</v>
      </c>
      <c r="D109" s="205" t="s">
        <v>77</v>
      </c>
      <c r="E109" s="205" t="s">
        <v>30</v>
      </c>
      <c r="F109" s="205">
        <v>100</v>
      </c>
      <c r="G109" s="205">
        <v>27.1</v>
      </c>
      <c r="H109" s="205">
        <v>65022.3</v>
      </c>
      <c r="I109" s="205">
        <v>2375</v>
      </c>
      <c r="J109" s="205">
        <v>0.15</v>
      </c>
      <c r="K109" s="236">
        <f t="shared" si="7"/>
        <v>9654.375</v>
      </c>
      <c r="L109" s="205">
        <v>0</v>
      </c>
      <c r="M109" s="236">
        <f t="shared" si="8"/>
        <v>0</v>
      </c>
      <c r="N109" s="205" t="s">
        <v>53</v>
      </c>
      <c r="O109" s="205" t="s">
        <v>54</v>
      </c>
    </row>
    <row r="110" spans="3:15" ht="137.5" x14ac:dyDescent="0.35">
      <c r="C110" s="205" t="s">
        <v>95</v>
      </c>
      <c r="D110" s="205" t="s">
        <v>77</v>
      </c>
      <c r="E110" s="205" t="s">
        <v>30</v>
      </c>
      <c r="F110" s="205">
        <v>200</v>
      </c>
      <c r="G110" s="205">
        <v>52.9</v>
      </c>
      <c r="H110" s="205">
        <v>126894.5</v>
      </c>
      <c r="I110" s="205">
        <v>2375</v>
      </c>
      <c r="J110" s="205">
        <v>0.15</v>
      </c>
      <c r="K110" s="236">
        <f t="shared" si="7"/>
        <v>18845.625</v>
      </c>
      <c r="L110" s="205">
        <v>0</v>
      </c>
      <c r="M110" s="236">
        <f t="shared" si="8"/>
        <v>0</v>
      </c>
      <c r="N110" s="205" t="s">
        <v>53</v>
      </c>
      <c r="O110" s="205" t="s">
        <v>54</v>
      </c>
    </row>
    <row r="111" spans="3:15" ht="137.5" x14ac:dyDescent="0.35">
      <c r="C111" s="205" t="s">
        <v>95</v>
      </c>
      <c r="D111" s="205" t="s">
        <v>106</v>
      </c>
      <c r="E111" s="205" t="s">
        <v>30</v>
      </c>
      <c r="F111" s="205">
        <v>440</v>
      </c>
      <c r="G111" s="205">
        <v>31.6</v>
      </c>
      <c r="H111" s="205">
        <v>75898.3</v>
      </c>
      <c r="I111" s="205">
        <v>2375</v>
      </c>
      <c r="J111" s="205">
        <v>0.15</v>
      </c>
      <c r="K111" s="236">
        <f t="shared" si="7"/>
        <v>11257.5</v>
      </c>
      <c r="L111" s="205">
        <v>0</v>
      </c>
      <c r="M111" s="236">
        <f t="shared" si="8"/>
        <v>0</v>
      </c>
      <c r="N111" s="205" t="s">
        <v>53</v>
      </c>
      <c r="O111" s="205" t="s">
        <v>54</v>
      </c>
    </row>
    <row r="112" spans="3:15" ht="137.5" x14ac:dyDescent="0.35">
      <c r="C112" s="205" t="s">
        <v>50</v>
      </c>
      <c r="D112" s="205" t="s">
        <v>131</v>
      </c>
      <c r="E112" s="205" t="s">
        <v>52</v>
      </c>
      <c r="F112" s="205">
        <v>125</v>
      </c>
      <c r="G112" s="205">
        <v>138.5</v>
      </c>
      <c r="H112" s="205">
        <v>69401.5</v>
      </c>
      <c r="I112" s="205">
        <v>61</v>
      </c>
      <c r="J112" s="205">
        <v>1.5</v>
      </c>
      <c r="K112" s="236">
        <f t="shared" si="7"/>
        <v>12672.75</v>
      </c>
      <c r="L112" s="205">
        <v>0</v>
      </c>
      <c r="M112" s="236">
        <f t="shared" si="8"/>
        <v>0</v>
      </c>
      <c r="N112" s="205" t="s">
        <v>53</v>
      </c>
      <c r="O112" s="205" t="s">
        <v>54</v>
      </c>
    </row>
    <row r="113" spans="3:15" ht="137.5" x14ac:dyDescent="0.35">
      <c r="C113" s="205" t="s">
        <v>89</v>
      </c>
      <c r="D113" s="205" t="s">
        <v>131</v>
      </c>
      <c r="E113" s="205" t="s">
        <v>20</v>
      </c>
      <c r="F113" s="205">
        <v>400</v>
      </c>
      <c r="G113" s="205">
        <v>431.5</v>
      </c>
      <c r="H113" s="205">
        <v>301903.90000000002</v>
      </c>
      <c r="I113" s="205">
        <v>470</v>
      </c>
      <c r="J113" s="205">
        <v>0.2</v>
      </c>
      <c r="K113" s="236">
        <f t="shared" si="7"/>
        <v>40561</v>
      </c>
      <c r="L113" s="205">
        <v>1.6</v>
      </c>
      <c r="M113" s="236">
        <f t="shared" si="8"/>
        <v>324488</v>
      </c>
      <c r="N113" s="205" t="s">
        <v>53</v>
      </c>
      <c r="O113" s="205" t="s">
        <v>54</v>
      </c>
    </row>
    <row r="114" spans="3:15" ht="137.5" x14ac:dyDescent="0.35">
      <c r="C114" s="205" t="s">
        <v>59</v>
      </c>
      <c r="D114" s="205" t="s">
        <v>131</v>
      </c>
      <c r="E114" s="205" t="s">
        <v>61</v>
      </c>
      <c r="F114" s="205">
        <v>32</v>
      </c>
      <c r="G114" s="205">
        <v>36</v>
      </c>
      <c r="H114" s="205">
        <v>43</v>
      </c>
      <c r="I114" s="205">
        <v>0</v>
      </c>
      <c r="J114" s="205">
        <v>0</v>
      </c>
      <c r="K114" s="236">
        <f t="shared" si="7"/>
        <v>0</v>
      </c>
      <c r="L114" s="205">
        <v>0</v>
      </c>
      <c r="M114" s="236">
        <f t="shared" si="8"/>
        <v>0</v>
      </c>
      <c r="N114" s="205" t="s">
        <v>53</v>
      </c>
      <c r="O114" s="205" t="s">
        <v>57</v>
      </c>
    </row>
    <row r="115" spans="3:15" ht="137.5" x14ac:dyDescent="0.35">
      <c r="C115" s="205" t="s">
        <v>79</v>
      </c>
      <c r="D115" s="205" t="s">
        <v>131</v>
      </c>
      <c r="E115" s="205" t="s">
        <v>15</v>
      </c>
      <c r="F115" s="205">
        <v>15</v>
      </c>
      <c r="G115" s="205">
        <v>12.4</v>
      </c>
      <c r="H115" s="205">
        <v>10979.1</v>
      </c>
      <c r="I115" s="205">
        <v>875</v>
      </c>
      <c r="J115" s="205">
        <v>0.28000000000000003</v>
      </c>
      <c r="K115" s="236">
        <f t="shared" si="7"/>
        <v>3038.0000000000005</v>
      </c>
      <c r="L115" s="205">
        <v>0</v>
      </c>
      <c r="M115" s="236">
        <f t="shared" si="8"/>
        <v>0</v>
      </c>
      <c r="N115" s="205" t="s">
        <v>53</v>
      </c>
      <c r="O115" s="205" t="s">
        <v>57</v>
      </c>
    </row>
    <row r="116" spans="3:15" ht="137.5" x14ac:dyDescent="0.35">
      <c r="C116" s="205" t="s">
        <v>78</v>
      </c>
      <c r="D116" s="205" t="s">
        <v>131</v>
      </c>
      <c r="E116" s="205" t="s">
        <v>26</v>
      </c>
      <c r="F116" s="205">
        <v>28</v>
      </c>
      <c r="G116" s="205">
        <v>31.5</v>
      </c>
      <c r="H116" s="205">
        <v>22023</v>
      </c>
      <c r="I116" s="205">
        <v>474</v>
      </c>
      <c r="J116" s="205">
        <v>0.09</v>
      </c>
      <c r="K116" s="236">
        <f t="shared" si="7"/>
        <v>1343.79</v>
      </c>
      <c r="L116" s="205">
        <v>1.6</v>
      </c>
      <c r="M116" s="236">
        <f t="shared" si="8"/>
        <v>23889.600000000002</v>
      </c>
      <c r="N116" s="205" t="s">
        <v>53</v>
      </c>
      <c r="O116" s="205" t="s">
        <v>57</v>
      </c>
    </row>
    <row r="117" spans="3:15" ht="137.5" x14ac:dyDescent="0.35">
      <c r="C117" s="205" t="s">
        <v>70</v>
      </c>
      <c r="D117" s="205" t="s">
        <v>60</v>
      </c>
      <c r="E117" s="205" t="s">
        <v>71</v>
      </c>
      <c r="F117" s="205">
        <v>25</v>
      </c>
      <c r="G117" s="205">
        <v>1.4</v>
      </c>
      <c r="H117" s="205">
        <v>296</v>
      </c>
      <c r="I117" s="205">
        <v>60</v>
      </c>
      <c r="J117" s="205">
        <v>1.02</v>
      </c>
      <c r="K117" s="236">
        <f t="shared" si="7"/>
        <v>85.68</v>
      </c>
      <c r="L117" s="205">
        <v>1.1000000000000001</v>
      </c>
      <c r="M117" s="236">
        <f t="shared" si="8"/>
        <v>92.4</v>
      </c>
      <c r="N117" s="205" t="s">
        <v>53</v>
      </c>
      <c r="O117" s="205" t="s">
        <v>54</v>
      </c>
    </row>
    <row r="118" spans="3:15" ht="137.5" x14ac:dyDescent="0.35">
      <c r="C118" s="205" t="s">
        <v>59</v>
      </c>
      <c r="D118" s="205" t="s">
        <v>60</v>
      </c>
      <c r="E118" s="205" t="s">
        <v>61</v>
      </c>
      <c r="F118" s="205">
        <v>32</v>
      </c>
      <c r="G118" s="205">
        <v>1.8</v>
      </c>
      <c r="H118" s="205">
        <v>2.2000000000000002</v>
      </c>
      <c r="I118" s="205">
        <v>0</v>
      </c>
      <c r="J118" s="205">
        <v>0</v>
      </c>
      <c r="K118" s="236">
        <f t="shared" si="7"/>
        <v>0</v>
      </c>
      <c r="L118" s="205">
        <v>0</v>
      </c>
      <c r="M118" s="236">
        <f t="shared" si="8"/>
        <v>0</v>
      </c>
      <c r="N118" s="205" t="s">
        <v>53</v>
      </c>
      <c r="O118" s="205" t="s">
        <v>57</v>
      </c>
    </row>
    <row r="119" spans="3:15" ht="137.5" x14ac:dyDescent="0.35">
      <c r="C119" s="205" t="s">
        <v>78</v>
      </c>
      <c r="D119" s="205" t="s">
        <v>60</v>
      </c>
      <c r="E119" s="205" t="s">
        <v>26</v>
      </c>
      <c r="F119" s="205">
        <v>28</v>
      </c>
      <c r="G119" s="205">
        <v>1.6</v>
      </c>
      <c r="H119" s="205">
        <v>1160.5999999999999</v>
      </c>
      <c r="I119" s="205">
        <v>474</v>
      </c>
      <c r="J119" s="205">
        <v>0.09</v>
      </c>
      <c r="K119" s="236">
        <f t="shared" si="7"/>
        <v>68.256</v>
      </c>
      <c r="L119" s="205">
        <v>1.6</v>
      </c>
      <c r="M119" s="236">
        <f t="shared" si="8"/>
        <v>1213.4400000000003</v>
      </c>
      <c r="N119" s="205" t="s">
        <v>53</v>
      </c>
      <c r="O119" s="205" t="s">
        <v>57</v>
      </c>
    </row>
    <row r="120" spans="3:15" ht="137.5" x14ac:dyDescent="0.35">
      <c r="C120" s="205" t="s">
        <v>50</v>
      </c>
      <c r="D120" s="205" t="s">
        <v>51</v>
      </c>
      <c r="E120" s="205" t="s">
        <v>52</v>
      </c>
      <c r="F120" s="205">
        <v>250</v>
      </c>
      <c r="G120" s="205">
        <v>0</v>
      </c>
      <c r="H120" s="205">
        <v>0</v>
      </c>
      <c r="I120" s="205">
        <v>61</v>
      </c>
      <c r="J120" s="205">
        <v>1.5</v>
      </c>
      <c r="K120" s="236">
        <f t="shared" si="7"/>
        <v>0</v>
      </c>
      <c r="L120" s="205">
        <v>0</v>
      </c>
      <c r="M120" s="236">
        <f t="shared" si="8"/>
        <v>0</v>
      </c>
      <c r="N120" s="205" t="s">
        <v>53</v>
      </c>
      <c r="O120" s="205" t="s">
        <v>54</v>
      </c>
    </row>
    <row r="121" spans="3:15" ht="137.5" x14ac:dyDescent="0.35">
      <c r="C121" s="205" t="s">
        <v>55</v>
      </c>
      <c r="D121" s="205" t="s">
        <v>51</v>
      </c>
      <c r="E121" s="205" t="s">
        <v>56</v>
      </c>
      <c r="F121" s="205">
        <v>70</v>
      </c>
      <c r="G121" s="205">
        <v>0</v>
      </c>
      <c r="H121" s="205">
        <v>0</v>
      </c>
      <c r="I121" s="205">
        <v>2363</v>
      </c>
      <c r="J121" s="205">
        <v>0.14000000000000001</v>
      </c>
      <c r="K121" s="236">
        <f t="shared" si="7"/>
        <v>0</v>
      </c>
      <c r="L121" s="205">
        <v>0</v>
      </c>
      <c r="M121" s="236">
        <f t="shared" si="8"/>
        <v>0</v>
      </c>
      <c r="N121" s="205" t="s">
        <v>53</v>
      </c>
      <c r="O121" s="205" t="s">
        <v>57</v>
      </c>
    </row>
    <row r="122" spans="3:15" ht="137.5" x14ac:dyDescent="0.35">
      <c r="C122" s="205" t="s">
        <v>58</v>
      </c>
      <c r="D122" s="205" t="s">
        <v>51</v>
      </c>
      <c r="E122" s="205" t="s">
        <v>32</v>
      </c>
      <c r="F122" s="205">
        <v>150</v>
      </c>
      <c r="G122" s="205">
        <v>0</v>
      </c>
      <c r="H122" s="205">
        <v>0</v>
      </c>
      <c r="I122" s="205">
        <v>2400</v>
      </c>
      <c r="J122" s="205">
        <v>0.19</v>
      </c>
      <c r="K122" s="236">
        <f t="shared" si="7"/>
        <v>0</v>
      </c>
      <c r="L122" s="205">
        <v>0</v>
      </c>
      <c r="M122" s="236">
        <f t="shared" si="8"/>
        <v>0</v>
      </c>
      <c r="N122" s="205" t="s">
        <v>53</v>
      </c>
      <c r="O122" s="205" t="s">
        <v>54</v>
      </c>
    </row>
    <row r="123" spans="3:15" ht="137.5" x14ac:dyDescent="0.35">
      <c r="C123" s="205" t="s">
        <v>50</v>
      </c>
      <c r="D123" s="205" t="s">
        <v>88</v>
      </c>
      <c r="E123" s="205" t="s">
        <v>52</v>
      </c>
      <c r="F123" s="205">
        <v>140</v>
      </c>
      <c r="G123" s="205">
        <v>8.3000000000000007</v>
      </c>
      <c r="H123" s="205">
        <v>4163.8</v>
      </c>
      <c r="I123" s="205">
        <v>61</v>
      </c>
      <c r="J123" s="205">
        <v>1.5</v>
      </c>
      <c r="K123" s="236">
        <f t="shared" si="7"/>
        <v>759.45</v>
      </c>
      <c r="L123" s="205">
        <v>0</v>
      </c>
      <c r="M123" s="236">
        <f t="shared" si="8"/>
        <v>0</v>
      </c>
      <c r="N123" s="205" t="s">
        <v>53</v>
      </c>
      <c r="O123" s="205" t="s">
        <v>54</v>
      </c>
    </row>
    <row r="124" spans="3:15" ht="137.5" x14ac:dyDescent="0.35">
      <c r="C124" s="205" t="s">
        <v>55</v>
      </c>
      <c r="D124" s="205" t="s">
        <v>88</v>
      </c>
      <c r="E124" s="205" t="s">
        <v>56</v>
      </c>
      <c r="F124" s="205">
        <v>100</v>
      </c>
      <c r="G124" s="205">
        <v>6</v>
      </c>
      <c r="H124" s="205">
        <v>14181.2</v>
      </c>
      <c r="I124" s="205">
        <v>2363</v>
      </c>
      <c r="J124" s="205">
        <v>0.14000000000000001</v>
      </c>
      <c r="K124" s="236">
        <f t="shared" si="7"/>
        <v>1984.9200000000003</v>
      </c>
      <c r="L124" s="205">
        <v>0</v>
      </c>
      <c r="M124" s="236">
        <f t="shared" si="8"/>
        <v>0</v>
      </c>
      <c r="N124" s="205" t="s">
        <v>53</v>
      </c>
      <c r="O124" s="205" t="s">
        <v>57</v>
      </c>
    </row>
    <row r="125" spans="3:15" ht="137.5" x14ac:dyDescent="0.35">
      <c r="C125" s="205" t="s">
        <v>58</v>
      </c>
      <c r="D125" s="205" t="s">
        <v>88</v>
      </c>
      <c r="E125" s="205" t="s">
        <v>32</v>
      </c>
      <c r="F125" s="205">
        <v>300</v>
      </c>
      <c r="G125" s="205">
        <v>16.100000000000001</v>
      </c>
      <c r="H125" s="205">
        <v>38836.300000000003</v>
      </c>
      <c r="I125" s="205">
        <v>2400</v>
      </c>
      <c r="J125" s="205">
        <v>0.19</v>
      </c>
      <c r="K125" s="236">
        <f t="shared" si="7"/>
        <v>7341.6</v>
      </c>
      <c r="L125" s="205">
        <v>0</v>
      </c>
      <c r="M125" s="236">
        <f t="shared" si="8"/>
        <v>0</v>
      </c>
      <c r="N125" s="205" t="s">
        <v>53</v>
      </c>
      <c r="O125" s="205" t="s">
        <v>54</v>
      </c>
    </row>
    <row r="126" spans="3:15" ht="137.5" x14ac:dyDescent="0.35">
      <c r="C126" s="205" t="s">
        <v>90</v>
      </c>
      <c r="D126" s="205" t="s">
        <v>91</v>
      </c>
      <c r="E126" s="205" t="s">
        <v>22</v>
      </c>
      <c r="F126" s="205">
        <v>25</v>
      </c>
      <c r="G126" s="205">
        <v>14.8</v>
      </c>
      <c r="H126" s="205">
        <v>7424.4</v>
      </c>
      <c r="I126" s="205">
        <v>474</v>
      </c>
      <c r="J126" s="205">
        <v>0.09</v>
      </c>
      <c r="K126" s="236">
        <f t="shared" si="7"/>
        <v>631.36800000000005</v>
      </c>
      <c r="L126" s="205">
        <v>1.6</v>
      </c>
      <c r="M126" s="236">
        <f t="shared" si="8"/>
        <v>11224.320000000002</v>
      </c>
      <c r="N126" s="205" t="s">
        <v>53</v>
      </c>
      <c r="O126" s="205" t="s">
        <v>54</v>
      </c>
    </row>
    <row r="127" spans="3:15" ht="137.5" x14ac:dyDescent="0.35">
      <c r="C127" s="205" t="s">
        <v>94</v>
      </c>
      <c r="D127" s="205" t="s">
        <v>91</v>
      </c>
      <c r="E127" s="205" t="s">
        <v>28</v>
      </c>
      <c r="F127" s="205">
        <v>2</v>
      </c>
      <c r="G127" s="205">
        <v>1.2</v>
      </c>
      <c r="H127" s="205">
        <v>8553</v>
      </c>
      <c r="I127" s="205">
        <v>7850</v>
      </c>
      <c r="J127" s="205">
        <v>3.1</v>
      </c>
      <c r="K127" s="236">
        <f t="shared" si="7"/>
        <v>29202</v>
      </c>
      <c r="L127" s="205">
        <v>0</v>
      </c>
      <c r="M127" s="236">
        <f t="shared" si="8"/>
        <v>0</v>
      </c>
      <c r="N127" s="205" t="s">
        <v>53</v>
      </c>
      <c r="O127" s="205" t="s">
        <v>54</v>
      </c>
    </row>
    <row r="128" spans="3:15" ht="137.5" x14ac:dyDescent="0.35">
      <c r="C128" s="205" t="s">
        <v>75</v>
      </c>
      <c r="D128" s="205" t="s">
        <v>68</v>
      </c>
      <c r="E128" s="205" t="s">
        <v>76</v>
      </c>
      <c r="F128" s="205">
        <v>100</v>
      </c>
      <c r="G128" s="205">
        <v>118.3</v>
      </c>
      <c r="H128" s="205">
        <v>4717.8</v>
      </c>
      <c r="I128" s="205">
        <v>33</v>
      </c>
      <c r="J128" s="205">
        <v>1.5</v>
      </c>
      <c r="K128" s="236">
        <f t="shared" si="7"/>
        <v>5855.85</v>
      </c>
      <c r="L128" s="205">
        <v>0</v>
      </c>
      <c r="M128" s="236">
        <f t="shared" si="8"/>
        <v>0</v>
      </c>
      <c r="N128" s="205" t="s">
        <v>53</v>
      </c>
      <c r="O128" s="205" t="s">
        <v>54</v>
      </c>
    </row>
    <row r="129" spans="3:15" ht="137.5" x14ac:dyDescent="0.35">
      <c r="C129" s="205" t="s">
        <v>50</v>
      </c>
      <c r="D129" s="205" t="s">
        <v>68</v>
      </c>
      <c r="E129" s="205" t="s">
        <v>52</v>
      </c>
      <c r="F129" s="205">
        <v>30</v>
      </c>
      <c r="G129" s="205">
        <v>42</v>
      </c>
      <c r="H129" s="205">
        <v>21393.7</v>
      </c>
      <c r="I129" s="205">
        <v>61</v>
      </c>
      <c r="J129" s="205">
        <v>1.5</v>
      </c>
      <c r="K129" s="236">
        <f t="shared" si="7"/>
        <v>3843</v>
      </c>
      <c r="L129" s="205">
        <v>0</v>
      </c>
      <c r="M129" s="236">
        <f t="shared" si="8"/>
        <v>0</v>
      </c>
      <c r="N129" s="205" t="s">
        <v>53</v>
      </c>
      <c r="O129" s="205" t="s">
        <v>57</v>
      </c>
    </row>
    <row r="130" spans="3:15" ht="137.5" x14ac:dyDescent="0.35">
      <c r="C130" s="205" t="s">
        <v>89</v>
      </c>
      <c r="D130" s="205" t="s">
        <v>68</v>
      </c>
      <c r="E130" s="205" t="s">
        <v>20</v>
      </c>
      <c r="F130" s="205">
        <v>80</v>
      </c>
      <c r="G130" s="205">
        <v>114.5</v>
      </c>
      <c r="H130" s="205">
        <v>79932.399999999994</v>
      </c>
      <c r="I130" s="205">
        <v>470</v>
      </c>
      <c r="J130" s="205">
        <v>0.2</v>
      </c>
      <c r="K130" s="236">
        <f t="shared" si="7"/>
        <v>10763</v>
      </c>
      <c r="L130" s="205">
        <v>1.6</v>
      </c>
      <c r="M130" s="236">
        <f t="shared" si="8"/>
        <v>86104</v>
      </c>
      <c r="N130" s="205" t="s">
        <v>53</v>
      </c>
      <c r="O130" s="205" t="s">
        <v>54</v>
      </c>
    </row>
    <row r="131" spans="3:15" ht="137.5" x14ac:dyDescent="0.35">
      <c r="C131" s="205" t="s">
        <v>59</v>
      </c>
      <c r="D131" s="205" t="s">
        <v>68</v>
      </c>
      <c r="E131" s="205" t="s">
        <v>61</v>
      </c>
      <c r="F131" s="205">
        <v>30</v>
      </c>
      <c r="G131" s="205">
        <v>42</v>
      </c>
      <c r="H131" s="205">
        <v>52.2</v>
      </c>
      <c r="I131" s="205">
        <v>0</v>
      </c>
      <c r="J131" s="205">
        <v>0</v>
      </c>
      <c r="K131" s="236">
        <f t="shared" ref="K131:K162" si="9">(I131*G131)*J131</f>
        <v>0</v>
      </c>
      <c r="L131" s="205">
        <v>0</v>
      </c>
      <c r="M131" s="236">
        <f t="shared" ref="M131:M162" si="10">(I131*G131)*L131</f>
        <v>0</v>
      </c>
      <c r="N131" s="205" t="s">
        <v>53</v>
      </c>
      <c r="O131" s="205" t="s">
        <v>54</v>
      </c>
    </row>
    <row r="132" spans="3:15" ht="137.5" x14ac:dyDescent="0.35">
      <c r="C132" s="205" t="s">
        <v>59</v>
      </c>
      <c r="D132" s="205" t="s">
        <v>68</v>
      </c>
      <c r="E132" s="205" t="s">
        <v>61</v>
      </c>
      <c r="F132" s="205">
        <v>160</v>
      </c>
      <c r="G132" s="205">
        <v>188.2</v>
      </c>
      <c r="H132" s="205">
        <v>226.9</v>
      </c>
      <c r="I132" s="205">
        <v>0</v>
      </c>
      <c r="J132" s="205">
        <v>0</v>
      </c>
      <c r="K132" s="236">
        <f t="shared" si="9"/>
        <v>0</v>
      </c>
      <c r="L132" s="205">
        <v>0</v>
      </c>
      <c r="M132" s="236">
        <f t="shared" si="10"/>
        <v>0</v>
      </c>
      <c r="N132" s="205" t="s">
        <v>53</v>
      </c>
      <c r="O132" s="205" t="s">
        <v>54</v>
      </c>
    </row>
    <row r="133" spans="3:15" ht="137.5" x14ac:dyDescent="0.35">
      <c r="C133" s="205" t="s">
        <v>86</v>
      </c>
      <c r="D133" s="205" t="s">
        <v>68</v>
      </c>
      <c r="E133" s="205" t="s">
        <v>87</v>
      </c>
      <c r="F133" s="205">
        <v>18</v>
      </c>
      <c r="G133" s="205">
        <v>25</v>
      </c>
      <c r="H133" s="205">
        <v>20537.900000000001</v>
      </c>
      <c r="I133" s="205">
        <v>0</v>
      </c>
      <c r="J133" s="205">
        <v>0</v>
      </c>
      <c r="K133" s="236">
        <f t="shared" si="9"/>
        <v>0</v>
      </c>
      <c r="L133" s="205">
        <v>0</v>
      </c>
      <c r="M133" s="236">
        <f t="shared" si="10"/>
        <v>0</v>
      </c>
      <c r="N133" s="205" t="s">
        <v>53</v>
      </c>
      <c r="O133" s="205" t="s">
        <v>57</v>
      </c>
    </row>
    <row r="134" spans="3:15" ht="137.5" x14ac:dyDescent="0.35">
      <c r="C134" s="205" t="s">
        <v>101</v>
      </c>
      <c r="D134" s="205" t="s">
        <v>68</v>
      </c>
      <c r="E134" s="205" t="s">
        <v>4</v>
      </c>
      <c r="F134" s="205">
        <v>40</v>
      </c>
      <c r="G134" s="205">
        <v>57.8</v>
      </c>
      <c r="H134" s="205">
        <v>102691.1</v>
      </c>
      <c r="I134" s="205">
        <v>2353</v>
      </c>
      <c r="J134" s="205">
        <v>0.12</v>
      </c>
      <c r="K134" s="236">
        <f t="shared" si="9"/>
        <v>16320.407999999999</v>
      </c>
      <c r="L134" s="205">
        <v>0</v>
      </c>
      <c r="M134" s="236">
        <f t="shared" si="10"/>
        <v>0</v>
      </c>
      <c r="N134" s="205" t="s">
        <v>53</v>
      </c>
      <c r="O134" s="205" t="s">
        <v>57</v>
      </c>
    </row>
    <row r="135" spans="3:15" ht="137.5" x14ac:dyDescent="0.35">
      <c r="C135" s="205" t="s">
        <v>64</v>
      </c>
      <c r="D135" s="205" t="s">
        <v>68</v>
      </c>
      <c r="E135" s="205" t="s">
        <v>66</v>
      </c>
      <c r="F135" s="205">
        <v>25</v>
      </c>
      <c r="G135" s="205">
        <v>35.5</v>
      </c>
      <c r="H135" s="205">
        <v>42</v>
      </c>
      <c r="I135" s="205">
        <v>0</v>
      </c>
      <c r="J135" s="205">
        <v>0</v>
      </c>
      <c r="K135" s="236">
        <f t="shared" si="9"/>
        <v>0</v>
      </c>
      <c r="L135" s="205">
        <v>0</v>
      </c>
      <c r="M135" s="236">
        <f t="shared" si="10"/>
        <v>0</v>
      </c>
      <c r="N135" s="205" t="s">
        <v>53</v>
      </c>
      <c r="O135" s="205" t="s">
        <v>54</v>
      </c>
    </row>
    <row r="136" spans="3:15" ht="137.5" x14ac:dyDescent="0.35">
      <c r="C136" s="205" t="s">
        <v>75</v>
      </c>
      <c r="D136" s="205" t="s">
        <v>65</v>
      </c>
      <c r="E136" s="205" t="s">
        <v>76</v>
      </c>
      <c r="F136" s="205">
        <v>100</v>
      </c>
      <c r="G136" s="205">
        <v>22</v>
      </c>
      <c r="H136" s="205">
        <v>883.1</v>
      </c>
      <c r="I136" s="205">
        <v>33</v>
      </c>
      <c r="J136" s="205">
        <v>1.5</v>
      </c>
      <c r="K136" s="236">
        <f t="shared" si="9"/>
        <v>1089</v>
      </c>
      <c r="L136" s="205">
        <v>0</v>
      </c>
      <c r="M136" s="236">
        <f t="shared" si="10"/>
        <v>0</v>
      </c>
      <c r="N136" s="205" t="s">
        <v>53</v>
      </c>
      <c r="O136" s="205" t="s">
        <v>57</v>
      </c>
    </row>
    <row r="137" spans="3:15" ht="137.5" x14ac:dyDescent="0.35">
      <c r="C137" s="205" t="s">
        <v>50</v>
      </c>
      <c r="D137" s="205" t="s">
        <v>65</v>
      </c>
      <c r="E137" s="205" t="s">
        <v>52</v>
      </c>
      <c r="F137" s="205">
        <v>30</v>
      </c>
      <c r="G137" s="205">
        <v>5.5</v>
      </c>
      <c r="H137" s="205">
        <v>3996.8</v>
      </c>
      <c r="I137" s="205">
        <v>61</v>
      </c>
      <c r="J137" s="205">
        <v>1.5</v>
      </c>
      <c r="K137" s="236">
        <f t="shared" si="9"/>
        <v>503.25</v>
      </c>
      <c r="L137" s="205">
        <v>0</v>
      </c>
      <c r="M137" s="236">
        <f t="shared" si="10"/>
        <v>0</v>
      </c>
      <c r="N137" s="205" t="s">
        <v>53</v>
      </c>
      <c r="O137" s="205" t="s">
        <v>57</v>
      </c>
    </row>
    <row r="138" spans="3:15" ht="137.5" x14ac:dyDescent="0.35">
      <c r="C138" s="205" t="s">
        <v>89</v>
      </c>
      <c r="D138" s="205" t="s">
        <v>65</v>
      </c>
      <c r="E138" s="205" t="s">
        <v>20</v>
      </c>
      <c r="F138" s="205">
        <v>80</v>
      </c>
      <c r="G138" s="205">
        <v>22</v>
      </c>
      <c r="H138" s="205">
        <v>14923.1</v>
      </c>
      <c r="I138" s="205">
        <v>470</v>
      </c>
      <c r="J138" s="205">
        <v>0.2</v>
      </c>
      <c r="K138" s="236">
        <f t="shared" si="9"/>
        <v>2068</v>
      </c>
      <c r="L138" s="205">
        <v>1.6</v>
      </c>
      <c r="M138" s="236">
        <f t="shared" si="10"/>
        <v>16544</v>
      </c>
      <c r="N138" s="205" t="s">
        <v>53</v>
      </c>
      <c r="O138" s="205" t="s">
        <v>57</v>
      </c>
    </row>
    <row r="139" spans="3:15" ht="137.5" x14ac:dyDescent="0.35">
      <c r="C139" s="205" t="s">
        <v>79</v>
      </c>
      <c r="D139" s="205" t="s">
        <v>65</v>
      </c>
      <c r="E139" s="205" t="s">
        <v>15</v>
      </c>
      <c r="F139" s="205">
        <v>13</v>
      </c>
      <c r="G139" s="205">
        <v>5.5</v>
      </c>
      <c r="H139" s="205">
        <v>2798</v>
      </c>
      <c r="I139" s="205">
        <v>875</v>
      </c>
      <c r="J139" s="205">
        <v>0.28000000000000003</v>
      </c>
      <c r="K139" s="236">
        <f t="shared" si="9"/>
        <v>1347.5000000000002</v>
      </c>
      <c r="L139" s="205">
        <v>0</v>
      </c>
      <c r="M139" s="236">
        <f t="shared" si="10"/>
        <v>0</v>
      </c>
      <c r="N139" s="205" t="s">
        <v>53</v>
      </c>
      <c r="O139" s="205" t="s">
        <v>57</v>
      </c>
    </row>
    <row r="140" spans="3:15" ht="137.5" x14ac:dyDescent="0.35">
      <c r="C140" s="205" t="s">
        <v>86</v>
      </c>
      <c r="D140" s="205" t="s">
        <v>65</v>
      </c>
      <c r="E140" s="205" t="s">
        <v>87</v>
      </c>
      <c r="F140" s="205">
        <v>18</v>
      </c>
      <c r="G140" s="205">
        <v>5.5</v>
      </c>
      <c r="H140" s="205">
        <v>3838</v>
      </c>
      <c r="I140" s="205">
        <v>0</v>
      </c>
      <c r="J140" s="205">
        <v>0</v>
      </c>
      <c r="K140" s="236">
        <f t="shared" si="9"/>
        <v>0</v>
      </c>
      <c r="L140" s="205">
        <v>0</v>
      </c>
      <c r="M140" s="236">
        <f t="shared" si="10"/>
        <v>0</v>
      </c>
      <c r="N140" s="205" t="s">
        <v>53</v>
      </c>
      <c r="O140" s="205" t="s">
        <v>57</v>
      </c>
    </row>
    <row r="141" spans="3:15" ht="137.5" x14ac:dyDescent="0.35">
      <c r="C141" s="205" t="s">
        <v>101</v>
      </c>
      <c r="D141" s="205" t="s">
        <v>65</v>
      </c>
      <c r="E141" s="205" t="s">
        <v>4</v>
      </c>
      <c r="F141" s="205">
        <v>40</v>
      </c>
      <c r="G141" s="205">
        <v>11</v>
      </c>
      <c r="H141" s="205">
        <v>19186.7</v>
      </c>
      <c r="I141" s="205">
        <v>2353</v>
      </c>
      <c r="J141" s="205">
        <v>0.12</v>
      </c>
      <c r="K141" s="236">
        <f t="shared" si="9"/>
        <v>3105.96</v>
      </c>
      <c r="L141" s="205">
        <v>0</v>
      </c>
      <c r="M141" s="236">
        <f t="shared" si="10"/>
        <v>0</v>
      </c>
      <c r="N141" s="205" t="s">
        <v>53</v>
      </c>
      <c r="O141" s="205" t="s">
        <v>57</v>
      </c>
    </row>
    <row r="142" spans="3:15" ht="137.5" x14ac:dyDescent="0.35">
      <c r="C142" s="205" t="s">
        <v>64</v>
      </c>
      <c r="D142" s="205" t="s">
        <v>65</v>
      </c>
      <c r="E142" s="205" t="s">
        <v>66</v>
      </c>
      <c r="F142" s="205">
        <v>25</v>
      </c>
      <c r="G142" s="205">
        <v>5.5</v>
      </c>
      <c r="H142" s="205">
        <v>5.5</v>
      </c>
      <c r="I142" s="205">
        <v>0</v>
      </c>
      <c r="J142" s="205">
        <v>0</v>
      </c>
      <c r="K142" s="236">
        <f t="shared" si="9"/>
        <v>0</v>
      </c>
      <c r="L142" s="205">
        <v>0</v>
      </c>
      <c r="M142" s="236">
        <f t="shared" si="10"/>
        <v>0</v>
      </c>
      <c r="N142" s="205" t="s">
        <v>53</v>
      </c>
      <c r="O142" s="205" t="s">
        <v>57</v>
      </c>
    </row>
    <row r="143" spans="3:15" ht="137.5" x14ac:dyDescent="0.35">
      <c r="C143" s="205" t="s">
        <v>64</v>
      </c>
      <c r="D143" s="205" t="s">
        <v>65</v>
      </c>
      <c r="E143" s="205" t="s">
        <v>66</v>
      </c>
      <c r="F143" s="205">
        <v>30</v>
      </c>
      <c r="G143" s="205">
        <v>5.5</v>
      </c>
      <c r="H143" s="205">
        <v>11</v>
      </c>
      <c r="I143" s="205">
        <v>0</v>
      </c>
      <c r="J143" s="205">
        <v>0</v>
      </c>
      <c r="K143" s="236">
        <f t="shared" si="9"/>
        <v>0</v>
      </c>
      <c r="L143" s="205">
        <v>0</v>
      </c>
      <c r="M143" s="236">
        <f t="shared" si="10"/>
        <v>0</v>
      </c>
      <c r="N143" s="205" t="s">
        <v>53</v>
      </c>
      <c r="O143" s="205" t="s">
        <v>57</v>
      </c>
    </row>
    <row r="144" spans="3:15" ht="137.5" x14ac:dyDescent="0.35">
      <c r="C144" s="205" t="s">
        <v>64</v>
      </c>
      <c r="D144" s="205" t="s">
        <v>65</v>
      </c>
      <c r="E144" s="205" t="s">
        <v>66</v>
      </c>
      <c r="F144" s="205">
        <v>160</v>
      </c>
      <c r="G144" s="205">
        <v>33.4</v>
      </c>
      <c r="H144" s="205">
        <v>44</v>
      </c>
      <c r="I144" s="205">
        <v>0</v>
      </c>
      <c r="J144" s="205">
        <v>0</v>
      </c>
      <c r="K144" s="236">
        <f t="shared" si="9"/>
        <v>0</v>
      </c>
      <c r="L144" s="205">
        <v>0</v>
      </c>
      <c r="M144" s="236">
        <f t="shared" si="10"/>
        <v>0</v>
      </c>
      <c r="N144" s="205" t="s">
        <v>53</v>
      </c>
      <c r="O144" s="205" t="s">
        <v>57</v>
      </c>
    </row>
    <row r="145" spans="3:15" ht="137.5" x14ac:dyDescent="0.35">
      <c r="C145" s="205" t="s">
        <v>89</v>
      </c>
      <c r="D145" s="205" t="s">
        <v>69</v>
      </c>
      <c r="E145" s="205" t="s">
        <v>20</v>
      </c>
      <c r="F145" s="205">
        <v>120</v>
      </c>
      <c r="G145" s="205">
        <v>28.5</v>
      </c>
      <c r="H145" s="205">
        <v>19964.8</v>
      </c>
      <c r="I145" s="205">
        <v>470</v>
      </c>
      <c r="J145" s="205">
        <v>0.2</v>
      </c>
      <c r="K145" s="236">
        <f t="shared" si="9"/>
        <v>2679</v>
      </c>
      <c r="L145" s="205">
        <v>1.6</v>
      </c>
      <c r="M145" s="236">
        <f t="shared" si="10"/>
        <v>21432</v>
      </c>
      <c r="N145" s="205" t="s">
        <v>53</v>
      </c>
      <c r="O145" s="205" t="s">
        <v>57</v>
      </c>
    </row>
    <row r="146" spans="3:15" ht="137.5" x14ac:dyDescent="0.35">
      <c r="C146" s="205" t="s">
        <v>59</v>
      </c>
      <c r="D146" s="205" t="s">
        <v>69</v>
      </c>
      <c r="E146" s="205" t="s">
        <v>61</v>
      </c>
      <c r="F146" s="205">
        <v>300</v>
      </c>
      <c r="G146" s="205">
        <v>59.6</v>
      </c>
      <c r="H146" s="205">
        <v>71.599999999999994</v>
      </c>
      <c r="I146" s="205">
        <v>0</v>
      </c>
      <c r="J146" s="205">
        <v>0</v>
      </c>
      <c r="K146" s="236">
        <f t="shared" si="9"/>
        <v>0</v>
      </c>
      <c r="L146" s="205">
        <v>0</v>
      </c>
      <c r="M146" s="236">
        <f t="shared" si="10"/>
        <v>0</v>
      </c>
      <c r="N146" s="205" t="s">
        <v>53</v>
      </c>
      <c r="O146" s="205" t="s">
        <v>54</v>
      </c>
    </row>
    <row r="147" spans="3:15" ht="137.5" x14ac:dyDescent="0.35">
      <c r="C147" s="205" t="s">
        <v>79</v>
      </c>
      <c r="D147" s="205" t="s">
        <v>69</v>
      </c>
      <c r="E147" s="205" t="s">
        <v>15</v>
      </c>
      <c r="F147" s="205">
        <v>15</v>
      </c>
      <c r="G147" s="205">
        <v>10</v>
      </c>
      <c r="H147" s="205">
        <v>8820.7999999999993</v>
      </c>
      <c r="I147" s="205">
        <v>875</v>
      </c>
      <c r="J147" s="205">
        <v>0.28000000000000003</v>
      </c>
      <c r="K147" s="236">
        <f t="shared" si="9"/>
        <v>2450.0000000000005</v>
      </c>
      <c r="L147" s="205">
        <v>0</v>
      </c>
      <c r="M147" s="236">
        <f t="shared" si="10"/>
        <v>0</v>
      </c>
      <c r="N147" s="205" t="s">
        <v>53</v>
      </c>
      <c r="O147" s="205" t="s">
        <v>54</v>
      </c>
    </row>
    <row r="148" spans="3:15" ht="137.5" x14ac:dyDescent="0.35">
      <c r="C148" s="205" t="s">
        <v>95</v>
      </c>
      <c r="D148" s="205" t="s">
        <v>104</v>
      </c>
      <c r="E148" s="205" t="s">
        <v>30</v>
      </c>
      <c r="F148" s="205">
        <v>200</v>
      </c>
      <c r="G148" s="205">
        <v>16.3</v>
      </c>
      <c r="H148" s="205">
        <v>38202.800000000003</v>
      </c>
      <c r="I148" s="205">
        <v>2375</v>
      </c>
      <c r="J148" s="205">
        <v>0.15</v>
      </c>
      <c r="K148" s="236">
        <f t="shared" si="9"/>
        <v>5806.875</v>
      </c>
      <c r="L148" s="205">
        <v>0</v>
      </c>
      <c r="M148" s="236">
        <f t="shared" si="10"/>
        <v>0</v>
      </c>
      <c r="N148" s="205" t="s">
        <v>53</v>
      </c>
      <c r="O148" s="205" t="s">
        <v>54</v>
      </c>
    </row>
    <row r="149" spans="3:15" ht="137.5" x14ac:dyDescent="0.35">
      <c r="C149" s="205" t="s">
        <v>95</v>
      </c>
      <c r="D149" s="205" t="s">
        <v>96</v>
      </c>
      <c r="E149" s="205" t="s">
        <v>30</v>
      </c>
      <c r="F149" s="205">
        <v>300</v>
      </c>
      <c r="G149" s="205">
        <v>3.8</v>
      </c>
      <c r="H149" s="205">
        <v>9014</v>
      </c>
      <c r="I149" s="205">
        <v>2375</v>
      </c>
      <c r="J149" s="205">
        <v>0.15</v>
      </c>
      <c r="K149" s="236">
        <f t="shared" si="9"/>
        <v>1353.75</v>
      </c>
      <c r="L149" s="205">
        <v>0</v>
      </c>
      <c r="M149" s="236">
        <f t="shared" si="10"/>
        <v>0</v>
      </c>
      <c r="N149" s="205" t="s">
        <v>53</v>
      </c>
      <c r="O149" s="205" t="s">
        <v>54</v>
      </c>
    </row>
    <row r="150" spans="3:15" ht="137.5" x14ac:dyDescent="0.35">
      <c r="C150" s="205" t="s">
        <v>50</v>
      </c>
      <c r="D150" s="205" t="s">
        <v>102</v>
      </c>
      <c r="E150" s="205" t="s">
        <v>52</v>
      </c>
      <c r="F150" s="205">
        <v>50</v>
      </c>
      <c r="G150" s="205">
        <v>43</v>
      </c>
      <c r="H150" s="205">
        <v>21801.3</v>
      </c>
      <c r="I150" s="205">
        <v>61</v>
      </c>
      <c r="J150" s="205">
        <v>1.5</v>
      </c>
      <c r="K150" s="236">
        <f t="shared" si="9"/>
        <v>3934.5</v>
      </c>
      <c r="L150" s="205">
        <v>0</v>
      </c>
      <c r="M150" s="236">
        <f t="shared" si="10"/>
        <v>0</v>
      </c>
      <c r="N150" s="205" t="s">
        <v>53</v>
      </c>
      <c r="O150" s="205" t="s">
        <v>54</v>
      </c>
    </row>
    <row r="151" spans="3:15" ht="137.5" x14ac:dyDescent="0.35">
      <c r="C151" s="205" t="s">
        <v>89</v>
      </c>
      <c r="D151" s="205" t="s">
        <v>102</v>
      </c>
      <c r="E151" s="205" t="s">
        <v>20</v>
      </c>
      <c r="F151" s="205">
        <v>80</v>
      </c>
      <c r="G151" s="205">
        <v>137.6</v>
      </c>
      <c r="H151" s="205">
        <v>97436.3</v>
      </c>
      <c r="I151" s="205">
        <v>470</v>
      </c>
      <c r="J151" s="205">
        <v>0.2</v>
      </c>
      <c r="K151" s="236">
        <f t="shared" si="9"/>
        <v>12934.400000000001</v>
      </c>
      <c r="L151" s="205">
        <v>1.6</v>
      </c>
      <c r="M151" s="236">
        <f t="shared" si="10"/>
        <v>103475.20000000001</v>
      </c>
      <c r="N151" s="205" t="s">
        <v>53</v>
      </c>
      <c r="O151" s="205" t="s">
        <v>54</v>
      </c>
    </row>
    <row r="152" spans="3:15" ht="137.5" x14ac:dyDescent="0.35">
      <c r="C152" s="205" t="s">
        <v>79</v>
      </c>
      <c r="D152" s="205" t="s">
        <v>102</v>
      </c>
      <c r="E152" s="205" t="s">
        <v>15</v>
      </c>
      <c r="F152" s="205">
        <v>15</v>
      </c>
      <c r="G152" s="205">
        <v>26</v>
      </c>
      <c r="H152" s="205">
        <v>20574.599999999999</v>
      </c>
      <c r="I152" s="205">
        <v>875</v>
      </c>
      <c r="J152" s="205">
        <v>0.28000000000000003</v>
      </c>
      <c r="K152" s="236">
        <f t="shared" si="9"/>
        <v>6370.0000000000009</v>
      </c>
      <c r="L152" s="205">
        <v>0</v>
      </c>
      <c r="M152" s="236">
        <f t="shared" si="10"/>
        <v>0</v>
      </c>
      <c r="N152" s="205" t="s">
        <v>53</v>
      </c>
      <c r="O152" s="205" t="s">
        <v>57</v>
      </c>
    </row>
    <row r="153" spans="3:15" ht="137.5" x14ac:dyDescent="0.35">
      <c r="C153" s="205" t="s">
        <v>50</v>
      </c>
      <c r="D153" s="205" t="s">
        <v>63</v>
      </c>
      <c r="E153" s="205" t="s">
        <v>52</v>
      </c>
      <c r="F153" s="205">
        <v>68</v>
      </c>
      <c r="G153" s="205">
        <v>16.600000000000001</v>
      </c>
      <c r="H153" s="205">
        <v>8027.3</v>
      </c>
      <c r="I153" s="205">
        <v>61</v>
      </c>
      <c r="J153" s="205">
        <v>1.5</v>
      </c>
      <c r="K153" s="236">
        <f t="shared" si="9"/>
        <v>1518.9</v>
      </c>
      <c r="L153" s="205">
        <v>0</v>
      </c>
      <c r="M153" s="236">
        <f t="shared" si="10"/>
        <v>0</v>
      </c>
      <c r="N153" s="205" t="s">
        <v>53</v>
      </c>
      <c r="O153" s="205" t="s">
        <v>54</v>
      </c>
    </row>
    <row r="154" spans="3:15" ht="137.5" x14ac:dyDescent="0.35">
      <c r="C154" s="205" t="s">
        <v>89</v>
      </c>
      <c r="D154" s="205" t="s">
        <v>63</v>
      </c>
      <c r="E154" s="205" t="s">
        <v>20</v>
      </c>
      <c r="F154" s="205">
        <v>80</v>
      </c>
      <c r="G154" s="205">
        <v>19</v>
      </c>
      <c r="H154" s="205">
        <v>13420.7</v>
      </c>
      <c r="I154" s="205">
        <v>470</v>
      </c>
      <c r="J154" s="205">
        <v>0.2</v>
      </c>
      <c r="K154" s="236">
        <f t="shared" si="9"/>
        <v>1786</v>
      </c>
      <c r="L154" s="205">
        <v>1.6</v>
      </c>
      <c r="M154" s="236">
        <f t="shared" si="10"/>
        <v>14288</v>
      </c>
      <c r="N154" s="205" t="s">
        <v>53</v>
      </c>
      <c r="O154" s="205" t="s">
        <v>54</v>
      </c>
    </row>
    <row r="155" spans="3:15" ht="137.5" x14ac:dyDescent="0.35">
      <c r="C155" s="205" t="s">
        <v>59</v>
      </c>
      <c r="D155" s="205" t="s">
        <v>63</v>
      </c>
      <c r="E155" s="205" t="s">
        <v>61</v>
      </c>
      <c r="F155" s="205">
        <v>20</v>
      </c>
      <c r="G155" s="205">
        <v>5.0999999999999996</v>
      </c>
      <c r="H155" s="205">
        <v>5.4</v>
      </c>
      <c r="I155" s="205">
        <v>0</v>
      </c>
      <c r="J155" s="205">
        <v>0</v>
      </c>
      <c r="K155" s="236">
        <f t="shared" si="9"/>
        <v>0</v>
      </c>
      <c r="L155" s="205">
        <v>0</v>
      </c>
      <c r="M155" s="236">
        <f t="shared" si="10"/>
        <v>0</v>
      </c>
      <c r="N155" s="205" t="s">
        <v>53</v>
      </c>
      <c r="O155" s="205" t="s">
        <v>54</v>
      </c>
    </row>
    <row r="156" spans="3:15" ht="137.5" x14ac:dyDescent="0.35">
      <c r="C156" s="205" t="s">
        <v>79</v>
      </c>
      <c r="D156" s="205" t="s">
        <v>63</v>
      </c>
      <c r="E156" s="205" t="s">
        <v>15</v>
      </c>
      <c r="F156" s="205">
        <v>15</v>
      </c>
      <c r="G156" s="205">
        <v>8.3000000000000007</v>
      </c>
      <c r="H156" s="205">
        <v>8365.4</v>
      </c>
      <c r="I156" s="205">
        <v>875</v>
      </c>
      <c r="J156" s="205">
        <v>0.28000000000000003</v>
      </c>
      <c r="K156" s="236">
        <f t="shared" si="9"/>
        <v>2033.5000000000005</v>
      </c>
      <c r="L156" s="205">
        <v>0</v>
      </c>
      <c r="M156" s="236">
        <f t="shared" si="10"/>
        <v>0</v>
      </c>
      <c r="N156" s="205" t="s">
        <v>53</v>
      </c>
      <c r="O156" s="205" t="s">
        <v>57</v>
      </c>
    </row>
    <row r="157" spans="3:15" ht="137.5" x14ac:dyDescent="0.35">
      <c r="C157" s="205" t="s">
        <v>50</v>
      </c>
      <c r="D157" s="205" t="s">
        <v>93</v>
      </c>
      <c r="E157" s="205" t="s">
        <v>52</v>
      </c>
      <c r="F157" s="205">
        <v>66</v>
      </c>
      <c r="G157" s="205">
        <v>19.399999999999999</v>
      </c>
      <c r="H157" s="205">
        <v>10417.200000000001</v>
      </c>
      <c r="I157" s="205">
        <v>61</v>
      </c>
      <c r="J157" s="205">
        <v>1.5</v>
      </c>
      <c r="K157" s="236">
        <f t="shared" si="9"/>
        <v>1775.1</v>
      </c>
      <c r="L157" s="205">
        <v>0</v>
      </c>
      <c r="M157" s="236">
        <f t="shared" si="10"/>
        <v>0</v>
      </c>
      <c r="N157" s="205" t="s">
        <v>53</v>
      </c>
      <c r="O157" s="205" t="s">
        <v>54</v>
      </c>
    </row>
    <row r="158" spans="3:15" ht="137.5" x14ac:dyDescent="0.35">
      <c r="C158" s="205" t="s">
        <v>79</v>
      </c>
      <c r="D158" s="205" t="s">
        <v>93</v>
      </c>
      <c r="E158" s="205" t="s">
        <v>15</v>
      </c>
      <c r="F158" s="205">
        <v>15</v>
      </c>
      <c r="G158" s="205">
        <v>7</v>
      </c>
      <c r="H158" s="205">
        <v>8146.8</v>
      </c>
      <c r="I158" s="205">
        <v>875</v>
      </c>
      <c r="J158" s="205">
        <v>0.28000000000000003</v>
      </c>
      <c r="K158" s="236">
        <f t="shared" si="9"/>
        <v>1715.0000000000002</v>
      </c>
      <c r="L158" s="205">
        <v>0</v>
      </c>
      <c r="M158" s="236">
        <f t="shared" si="10"/>
        <v>0</v>
      </c>
      <c r="N158" s="205" t="s">
        <v>53</v>
      </c>
      <c r="O158" s="205" t="s">
        <v>57</v>
      </c>
    </row>
    <row r="159" spans="3:15" ht="165" x14ac:dyDescent="0.35">
      <c r="C159" s="205" t="s">
        <v>89</v>
      </c>
      <c r="D159" s="205" t="s">
        <v>85</v>
      </c>
      <c r="E159" s="205" t="s">
        <v>20</v>
      </c>
      <c r="F159" s="205">
        <v>80</v>
      </c>
      <c r="G159" s="205">
        <v>23.1</v>
      </c>
      <c r="H159" s="205">
        <v>15650.7</v>
      </c>
      <c r="I159" s="205">
        <v>470</v>
      </c>
      <c r="J159" s="205">
        <v>0.2</v>
      </c>
      <c r="K159" s="236">
        <f t="shared" si="9"/>
        <v>2171.4</v>
      </c>
      <c r="L159" s="205">
        <v>1.6</v>
      </c>
      <c r="M159" s="236">
        <f t="shared" si="10"/>
        <v>17371.2</v>
      </c>
      <c r="N159" s="205" t="s">
        <v>53</v>
      </c>
      <c r="O159" s="205" t="s">
        <v>57</v>
      </c>
    </row>
    <row r="160" spans="3:15" ht="165" x14ac:dyDescent="0.35">
      <c r="C160" s="205" t="s">
        <v>79</v>
      </c>
      <c r="D160" s="205" t="s">
        <v>85</v>
      </c>
      <c r="E160" s="205" t="s">
        <v>15</v>
      </c>
      <c r="F160" s="205">
        <v>15</v>
      </c>
      <c r="G160" s="205">
        <v>3.5</v>
      </c>
      <c r="H160" s="205">
        <v>3583.7</v>
      </c>
      <c r="I160" s="205">
        <v>875</v>
      </c>
      <c r="J160" s="205">
        <v>0.28000000000000003</v>
      </c>
      <c r="K160" s="236">
        <f t="shared" si="9"/>
        <v>857.50000000000011</v>
      </c>
      <c r="L160" s="205">
        <v>0</v>
      </c>
      <c r="M160" s="236">
        <f t="shared" si="10"/>
        <v>0</v>
      </c>
      <c r="N160" s="205" t="s">
        <v>53</v>
      </c>
      <c r="O160" s="205" t="s">
        <v>57</v>
      </c>
    </row>
    <row r="161" spans="3:15" ht="165" x14ac:dyDescent="0.35">
      <c r="C161" s="205" t="s">
        <v>79</v>
      </c>
      <c r="D161" s="205" t="s">
        <v>85</v>
      </c>
      <c r="E161" s="205" t="s">
        <v>15</v>
      </c>
      <c r="F161" s="205">
        <v>15</v>
      </c>
      <c r="G161" s="205">
        <v>3.5</v>
      </c>
      <c r="H161" s="205">
        <v>3191.2</v>
      </c>
      <c r="I161" s="205">
        <v>875</v>
      </c>
      <c r="J161" s="205">
        <v>0.28000000000000003</v>
      </c>
      <c r="K161" s="236">
        <f t="shared" si="9"/>
        <v>857.50000000000011</v>
      </c>
      <c r="L161" s="205">
        <v>0</v>
      </c>
      <c r="M161" s="236">
        <f t="shared" si="10"/>
        <v>0</v>
      </c>
      <c r="N161" s="205" t="s">
        <v>53</v>
      </c>
      <c r="O161" s="205" t="s">
        <v>54</v>
      </c>
    </row>
    <row r="162" spans="3:15" ht="137.5" x14ac:dyDescent="0.35">
      <c r="C162" s="205" t="s">
        <v>89</v>
      </c>
      <c r="D162" s="205" t="s">
        <v>80</v>
      </c>
      <c r="E162" s="205" t="s">
        <v>20</v>
      </c>
      <c r="F162" s="205">
        <v>80</v>
      </c>
      <c r="G162" s="205">
        <v>8.6</v>
      </c>
      <c r="H162" s="205">
        <v>6086.4</v>
      </c>
      <c r="I162" s="205">
        <v>470</v>
      </c>
      <c r="J162" s="205">
        <v>0.2</v>
      </c>
      <c r="K162" s="236">
        <f t="shared" si="9"/>
        <v>808.40000000000009</v>
      </c>
      <c r="L162" s="205">
        <v>1.6</v>
      </c>
      <c r="M162" s="236">
        <f t="shared" si="10"/>
        <v>6467.2000000000007</v>
      </c>
      <c r="N162" s="205" t="s">
        <v>53</v>
      </c>
      <c r="O162" s="205" t="s">
        <v>54</v>
      </c>
    </row>
    <row r="163" spans="3:15" ht="137.5" x14ac:dyDescent="0.35">
      <c r="C163" s="205" t="s">
        <v>79</v>
      </c>
      <c r="D163" s="205" t="s">
        <v>80</v>
      </c>
      <c r="E163" s="205" t="s">
        <v>15</v>
      </c>
      <c r="F163" s="205">
        <v>15</v>
      </c>
      <c r="G163" s="205">
        <v>1.8</v>
      </c>
      <c r="H163" s="205">
        <v>1513.7</v>
      </c>
      <c r="I163" s="205">
        <v>875</v>
      </c>
      <c r="J163" s="205">
        <v>0.28000000000000003</v>
      </c>
      <c r="K163" s="236">
        <f t="shared" ref="K163:K178" si="11">(I163*G163)*J163</f>
        <v>441.00000000000006</v>
      </c>
      <c r="L163" s="205">
        <v>0</v>
      </c>
      <c r="M163" s="236">
        <f t="shared" ref="M163:M178" si="12">(I163*G163)*L163</f>
        <v>0</v>
      </c>
      <c r="N163" s="205" t="s">
        <v>53</v>
      </c>
      <c r="O163" s="205" t="s">
        <v>57</v>
      </c>
    </row>
    <row r="164" spans="3:15" ht="137.5" x14ac:dyDescent="0.35">
      <c r="C164" s="205" t="s">
        <v>79</v>
      </c>
      <c r="D164" s="205" t="s">
        <v>80</v>
      </c>
      <c r="E164" s="205" t="s">
        <v>15</v>
      </c>
      <c r="F164" s="205">
        <v>15</v>
      </c>
      <c r="G164" s="205">
        <v>1.8</v>
      </c>
      <c r="H164" s="205">
        <v>1403.6</v>
      </c>
      <c r="I164" s="205">
        <v>875</v>
      </c>
      <c r="J164" s="205">
        <v>0.28000000000000003</v>
      </c>
      <c r="K164" s="236">
        <f t="shared" si="11"/>
        <v>441.00000000000006</v>
      </c>
      <c r="L164" s="205">
        <v>0</v>
      </c>
      <c r="M164" s="236">
        <f t="shared" si="12"/>
        <v>0</v>
      </c>
      <c r="N164" s="205" t="s">
        <v>53</v>
      </c>
      <c r="O164" s="205" t="s">
        <v>54</v>
      </c>
    </row>
    <row r="165" spans="3:15" ht="137.5" x14ac:dyDescent="0.35">
      <c r="C165" s="205" t="s">
        <v>50</v>
      </c>
      <c r="D165" s="205" t="s">
        <v>62</v>
      </c>
      <c r="E165" s="205" t="s">
        <v>52</v>
      </c>
      <c r="F165" s="205">
        <v>98</v>
      </c>
      <c r="G165" s="205">
        <v>21.6</v>
      </c>
      <c r="H165" s="205">
        <v>10568.4</v>
      </c>
      <c r="I165" s="205">
        <v>61</v>
      </c>
      <c r="J165" s="205">
        <v>1.5</v>
      </c>
      <c r="K165" s="236">
        <f t="shared" si="11"/>
        <v>1976.4</v>
      </c>
      <c r="L165" s="205">
        <v>0</v>
      </c>
      <c r="M165" s="236">
        <f t="shared" si="12"/>
        <v>0</v>
      </c>
      <c r="N165" s="205" t="s">
        <v>53</v>
      </c>
      <c r="O165" s="205" t="s">
        <v>57</v>
      </c>
    </row>
    <row r="166" spans="3:15" ht="137.5" x14ac:dyDescent="0.35">
      <c r="C166" s="205" t="s">
        <v>89</v>
      </c>
      <c r="D166" s="205" t="s">
        <v>62</v>
      </c>
      <c r="E166" s="205" t="s">
        <v>20</v>
      </c>
      <c r="F166" s="205">
        <v>80</v>
      </c>
      <c r="G166" s="205">
        <v>16.399999999999999</v>
      </c>
      <c r="H166" s="205">
        <v>11803.5</v>
      </c>
      <c r="I166" s="205">
        <v>470</v>
      </c>
      <c r="J166" s="205">
        <v>0.2</v>
      </c>
      <c r="K166" s="236">
        <f t="shared" si="11"/>
        <v>1541.6</v>
      </c>
      <c r="L166" s="205">
        <v>1.6</v>
      </c>
      <c r="M166" s="236">
        <f t="shared" si="12"/>
        <v>12332.8</v>
      </c>
      <c r="N166" s="205" t="s">
        <v>53</v>
      </c>
      <c r="O166" s="205" t="s">
        <v>57</v>
      </c>
    </row>
    <row r="167" spans="3:15" ht="137.5" x14ac:dyDescent="0.35">
      <c r="C167" s="205" t="s">
        <v>59</v>
      </c>
      <c r="D167" s="205" t="s">
        <v>62</v>
      </c>
      <c r="E167" s="205" t="s">
        <v>61</v>
      </c>
      <c r="F167" s="205">
        <v>20</v>
      </c>
      <c r="G167" s="205">
        <v>4.2</v>
      </c>
      <c r="H167" s="205">
        <v>5.3</v>
      </c>
      <c r="I167" s="205">
        <v>0</v>
      </c>
      <c r="J167" s="205">
        <v>0</v>
      </c>
      <c r="K167" s="236">
        <f t="shared" si="11"/>
        <v>0</v>
      </c>
      <c r="L167" s="205">
        <v>0</v>
      </c>
      <c r="M167" s="236">
        <f t="shared" si="12"/>
        <v>0</v>
      </c>
      <c r="N167" s="205" t="s">
        <v>53</v>
      </c>
      <c r="O167" s="205" t="s">
        <v>57</v>
      </c>
    </row>
    <row r="168" spans="3:15" ht="137.5" x14ac:dyDescent="0.35">
      <c r="C168" s="205" t="s">
        <v>79</v>
      </c>
      <c r="D168" s="205" t="s">
        <v>62</v>
      </c>
      <c r="E168" s="205" t="s">
        <v>15</v>
      </c>
      <c r="F168" s="205">
        <v>15</v>
      </c>
      <c r="G168" s="205">
        <v>3</v>
      </c>
      <c r="H168" s="205">
        <v>2582.4</v>
      </c>
      <c r="I168" s="205">
        <v>875</v>
      </c>
      <c r="J168" s="205">
        <v>0.28000000000000003</v>
      </c>
      <c r="K168" s="236">
        <f t="shared" si="11"/>
        <v>735.00000000000011</v>
      </c>
      <c r="L168" s="205">
        <v>0</v>
      </c>
      <c r="M168" s="236">
        <f t="shared" si="12"/>
        <v>0</v>
      </c>
      <c r="N168" s="205" t="s">
        <v>53</v>
      </c>
      <c r="O168" s="205" t="s">
        <v>54</v>
      </c>
    </row>
    <row r="169" spans="3:15" ht="137.5" x14ac:dyDescent="0.35">
      <c r="C169" s="205" t="s">
        <v>79</v>
      </c>
      <c r="D169" s="205" t="s">
        <v>62</v>
      </c>
      <c r="E169" s="205" t="s">
        <v>15</v>
      </c>
      <c r="F169" s="205">
        <v>15</v>
      </c>
      <c r="G169" s="205">
        <v>6</v>
      </c>
      <c r="H169" s="205">
        <v>5815.3</v>
      </c>
      <c r="I169" s="205">
        <v>875</v>
      </c>
      <c r="J169" s="205">
        <v>0.28000000000000003</v>
      </c>
      <c r="K169" s="236">
        <f t="shared" si="11"/>
        <v>1470.0000000000002</v>
      </c>
      <c r="L169" s="205">
        <v>0</v>
      </c>
      <c r="M169" s="236">
        <f t="shared" si="12"/>
        <v>0</v>
      </c>
      <c r="N169" s="205" t="s">
        <v>53</v>
      </c>
      <c r="O169" s="205" t="s">
        <v>57</v>
      </c>
    </row>
    <row r="170" spans="3:15" ht="137.5" x14ac:dyDescent="0.35">
      <c r="C170" s="205" t="s">
        <v>50</v>
      </c>
      <c r="D170" s="205" t="s">
        <v>97</v>
      </c>
      <c r="E170" s="205" t="s">
        <v>52</v>
      </c>
      <c r="F170" s="205">
        <v>66</v>
      </c>
      <c r="G170" s="205">
        <v>71.5</v>
      </c>
      <c r="H170" s="205">
        <v>35262.9</v>
      </c>
      <c r="I170" s="205">
        <v>61</v>
      </c>
      <c r="J170" s="205">
        <v>1.5</v>
      </c>
      <c r="K170" s="236">
        <f t="shared" si="11"/>
        <v>6542.25</v>
      </c>
      <c r="L170" s="205">
        <v>0</v>
      </c>
      <c r="M170" s="236">
        <f t="shared" si="12"/>
        <v>0</v>
      </c>
      <c r="N170" s="205" t="s">
        <v>53</v>
      </c>
      <c r="O170" s="205" t="s">
        <v>54</v>
      </c>
    </row>
    <row r="171" spans="3:15" ht="137.5" x14ac:dyDescent="0.35">
      <c r="C171" s="205" t="s">
        <v>79</v>
      </c>
      <c r="D171" s="205" t="s">
        <v>97</v>
      </c>
      <c r="E171" s="205" t="s">
        <v>15</v>
      </c>
      <c r="F171" s="205">
        <v>13</v>
      </c>
      <c r="G171" s="205">
        <v>16.5</v>
      </c>
      <c r="H171" s="205">
        <v>11922.9</v>
      </c>
      <c r="I171" s="205">
        <v>875</v>
      </c>
      <c r="J171" s="205">
        <v>0.28000000000000003</v>
      </c>
      <c r="K171" s="236">
        <f t="shared" si="11"/>
        <v>4042.5000000000005</v>
      </c>
      <c r="L171" s="205">
        <v>0</v>
      </c>
      <c r="M171" s="236">
        <f t="shared" si="12"/>
        <v>0</v>
      </c>
      <c r="N171" s="205" t="s">
        <v>53</v>
      </c>
      <c r="O171" s="205" t="s">
        <v>54</v>
      </c>
    </row>
    <row r="172" spans="3:15" ht="137.5" x14ac:dyDescent="0.35">
      <c r="C172" s="205" t="s">
        <v>79</v>
      </c>
      <c r="D172" s="205" t="s">
        <v>97</v>
      </c>
      <c r="E172" s="205" t="s">
        <v>15</v>
      </c>
      <c r="F172" s="205">
        <v>13</v>
      </c>
      <c r="G172" s="205">
        <v>16.5</v>
      </c>
      <c r="H172" s="205">
        <v>12982.8</v>
      </c>
      <c r="I172" s="205">
        <v>875</v>
      </c>
      <c r="J172" s="205">
        <v>0.28000000000000003</v>
      </c>
      <c r="K172" s="236">
        <f t="shared" si="11"/>
        <v>4042.5000000000005</v>
      </c>
      <c r="L172" s="205">
        <v>0</v>
      </c>
      <c r="M172" s="236">
        <f t="shared" si="12"/>
        <v>0</v>
      </c>
      <c r="N172" s="205" t="s">
        <v>53</v>
      </c>
      <c r="O172" s="205" t="s">
        <v>57</v>
      </c>
    </row>
    <row r="173" spans="3:15" ht="137.5" x14ac:dyDescent="0.35">
      <c r="C173" s="205" t="s">
        <v>58</v>
      </c>
      <c r="D173" s="205" t="s">
        <v>105</v>
      </c>
      <c r="E173" s="205" t="s">
        <v>32</v>
      </c>
      <c r="F173" s="205">
        <v>300</v>
      </c>
      <c r="G173" s="205">
        <v>24</v>
      </c>
      <c r="H173" s="205">
        <v>57635.5</v>
      </c>
      <c r="I173" s="205">
        <v>2400</v>
      </c>
      <c r="J173" s="205">
        <v>0.19</v>
      </c>
      <c r="K173" s="236">
        <f t="shared" si="11"/>
        <v>10944</v>
      </c>
      <c r="L173" s="205">
        <v>0</v>
      </c>
      <c r="M173" s="236">
        <f t="shared" si="12"/>
        <v>0</v>
      </c>
      <c r="N173" s="205" t="s">
        <v>53</v>
      </c>
      <c r="O173" s="205" t="s">
        <v>57</v>
      </c>
    </row>
    <row r="174" spans="3:15" ht="137.5" x14ac:dyDescent="0.35">
      <c r="C174" s="205" t="s">
        <v>58</v>
      </c>
      <c r="D174" s="205" t="s">
        <v>103</v>
      </c>
      <c r="E174" s="205" t="s">
        <v>32</v>
      </c>
      <c r="F174" s="205">
        <v>300</v>
      </c>
      <c r="G174" s="205">
        <v>15</v>
      </c>
      <c r="H174" s="205">
        <v>36148.300000000003</v>
      </c>
      <c r="I174" s="205">
        <v>2400</v>
      </c>
      <c r="J174" s="205">
        <v>0.19</v>
      </c>
      <c r="K174" s="236">
        <f t="shared" si="11"/>
        <v>6840</v>
      </c>
      <c r="L174" s="205">
        <v>0</v>
      </c>
      <c r="M174" s="236">
        <f t="shared" si="12"/>
        <v>0</v>
      </c>
      <c r="N174" s="205" t="s">
        <v>53</v>
      </c>
      <c r="O174" s="205" t="s">
        <v>54</v>
      </c>
    </row>
    <row r="175" spans="3:15" ht="137.5" x14ac:dyDescent="0.35">
      <c r="C175" s="205" t="s">
        <v>58</v>
      </c>
      <c r="D175" s="205" t="s">
        <v>108</v>
      </c>
      <c r="E175" s="205" t="s">
        <v>32</v>
      </c>
      <c r="F175" s="205">
        <v>200</v>
      </c>
      <c r="G175" s="205">
        <v>64.2</v>
      </c>
      <c r="H175" s="205">
        <v>153606.1</v>
      </c>
      <c r="I175" s="205">
        <v>2400</v>
      </c>
      <c r="J175" s="205">
        <v>0.19</v>
      </c>
      <c r="K175" s="236">
        <f t="shared" si="11"/>
        <v>29275.200000000001</v>
      </c>
      <c r="L175" s="205">
        <v>0</v>
      </c>
      <c r="M175" s="236">
        <f t="shared" si="12"/>
        <v>0</v>
      </c>
      <c r="N175" s="205" t="s">
        <v>53</v>
      </c>
      <c r="O175" s="205" t="s">
        <v>57</v>
      </c>
    </row>
    <row r="176" spans="3:15" ht="137.5" x14ac:dyDescent="0.35">
      <c r="C176" s="205" t="s">
        <v>98</v>
      </c>
      <c r="D176" s="205" t="s">
        <v>99</v>
      </c>
      <c r="E176" s="205" t="s">
        <v>100</v>
      </c>
      <c r="F176" s="205">
        <v>125</v>
      </c>
      <c r="G176" s="205">
        <v>11.4</v>
      </c>
      <c r="H176" s="205">
        <v>16007.9</v>
      </c>
      <c r="I176" s="205">
        <v>644</v>
      </c>
      <c r="J176" s="205">
        <v>0.26</v>
      </c>
      <c r="K176" s="236">
        <f t="shared" si="11"/>
        <v>1908.8160000000003</v>
      </c>
      <c r="L176" s="205">
        <v>0</v>
      </c>
      <c r="M176" s="236">
        <f t="shared" si="12"/>
        <v>0</v>
      </c>
      <c r="N176" s="205" t="s">
        <v>53</v>
      </c>
      <c r="O176" s="205" t="s">
        <v>57</v>
      </c>
    </row>
    <row r="177" spans="3:15" ht="137.5" x14ac:dyDescent="0.35">
      <c r="C177" s="205" t="s">
        <v>75</v>
      </c>
      <c r="D177" s="205" t="s">
        <v>92</v>
      </c>
      <c r="E177" s="205" t="s">
        <v>76</v>
      </c>
      <c r="F177" s="205">
        <v>450</v>
      </c>
      <c r="G177" s="205">
        <v>194.7</v>
      </c>
      <c r="H177" s="205">
        <v>7787.1</v>
      </c>
      <c r="I177" s="205">
        <v>33</v>
      </c>
      <c r="J177" s="205">
        <v>1.5</v>
      </c>
      <c r="K177" s="236">
        <f t="shared" si="11"/>
        <v>9637.65</v>
      </c>
      <c r="L177" s="205">
        <v>0</v>
      </c>
      <c r="M177" s="236">
        <f t="shared" si="12"/>
        <v>0</v>
      </c>
      <c r="N177" s="205" t="s">
        <v>53</v>
      </c>
      <c r="O177" s="205" t="s">
        <v>57</v>
      </c>
    </row>
    <row r="178" spans="3:15" ht="137.5" x14ac:dyDescent="0.35">
      <c r="C178" s="205" t="s">
        <v>89</v>
      </c>
      <c r="D178" s="205" t="s">
        <v>92</v>
      </c>
      <c r="E178" s="205" t="s">
        <v>20</v>
      </c>
      <c r="F178" s="205">
        <v>80</v>
      </c>
      <c r="G178" s="205">
        <v>34.6</v>
      </c>
      <c r="H178" s="205">
        <v>24226.7</v>
      </c>
      <c r="I178" s="205">
        <v>470</v>
      </c>
      <c r="J178" s="205">
        <v>0.2</v>
      </c>
      <c r="K178" s="237">
        <f t="shared" si="11"/>
        <v>3252.4</v>
      </c>
      <c r="L178" s="205">
        <v>1.6</v>
      </c>
      <c r="M178" s="237">
        <f t="shared" si="12"/>
        <v>26019.200000000001</v>
      </c>
      <c r="N178" s="205" t="s">
        <v>53</v>
      </c>
      <c r="O178" s="205" t="s">
        <v>54</v>
      </c>
    </row>
  </sheetData>
  <sheetProtection algorithmName="SHA-512" hashValue="HTFzkS55Pp22Un9PedyGXDNTSJ0bM076EwqW5OSYYOyRGULKYzBOqWs2jILOPc5w3HwWnZR+fXIy9eb1IXkknQ==" saltValue="3/gGG3+f1dP8QI0YJxjmvQ==" spinCount="100000" sheet="1" objects="1" scenarios="1"/>
  <mergeCells count="1">
    <mergeCell ref="A3:K3"/>
  </mergeCells>
  <conditionalFormatting sqref="J88:J89">
    <cfRule type="cellIs" dxfId="48" priority="1" operator="lessThan">
      <formula>0</formula>
    </cfRule>
  </conditionalFormatting>
  <pageMargins left="0.7" right="0.7" top="0.75" bottom="0.75" header="0.3" footer="0.3"/>
  <pageSetup paperSize="9" orientation="portrait" verticalDpi="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CBD818-90ED-4CA4-B911-A271DAE9588E}">
  <sheetPr codeName="Taul1"/>
  <dimension ref="A7:M30"/>
  <sheetViews>
    <sheetView zoomScale="80" zoomScaleNormal="80" workbookViewId="0">
      <selection activeCell="B24" sqref="B24"/>
    </sheetView>
  </sheetViews>
  <sheetFormatPr defaultRowHeight="14.5" x14ac:dyDescent="0.35"/>
  <cols>
    <col min="1" max="1" width="9.453125" bestFit="1" customWidth="1"/>
    <col min="2" max="2" width="10.54296875" bestFit="1" customWidth="1"/>
    <col min="5" max="5" width="10.54296875" bestFit="1" customWidth="1"/>
    <col min="6" max="6" width="11.08984375" bestFit="1" customWidth="1"/>
    <col min="7" max="7" width="20.26953125" bestFit="1" customWidth="1"/>
    <col min="8" max="8" width="12.7265625" bestFit="1" customWidth="1"/>
    <col min="9" max="9" width="12.7265625" customWidth="1"/>
    <col min="10" max="10" width="11.81640625" customWidth="1"/>
    <col min="11" max="11" width="12.54296875" customWidth="1"/>
    <col min="12" max="13" width="13.6328125" bestFit="1" customWidth="1"/>
  </cols>
  <sheetData>
    <row r="7" spans="5:10" ht="15" thickBot="1" x14ac:dyDescent="0.4"/>
    <row r="8" spans="5:10" ht="14" customHeight="1" x14ac:dyDescent="0.35">
      <c r="E8" s="28" t="s">
        <v>341</v>
      </c>
      <c r="F8" s="6"/>
      <c r="G8" s="6"/>
      <c r="H8" s="6"/>
      <c r="I8" s="6"/>
      <c r="J8" s="7"/>
    </row>
    <row r="9" spans="5:10" x14ac:dyDescent="0.35">
      <c r="E9" s="29" t="s">
        <v>158</v>
      </c>
      <c r="F9" s="3" t="str">
        <f>VLOOKUP(B20,Tulokset!AH6:AJ13,3,0)</f>
        <v>-</v>
      </c>
      <c r="G9" s="3"/>
      <c r="H9" s="3"/>
      <c r="I9" s="3"/>
      <c r="J9" s="8"/>
    </row>
    <row r="10" spans="5:10" x14ac:dyDescent="0.35">
      <c r="E10" s="29" t="s">
        <v>199</v>
      </c>
      <c r="F10" s="3" t="str">
        <f>VLOOKUP(B21,Tulokset!AL19:AN23,3,0)</f>
        <v>-</v>
      </c>
      <c r="G10" s="3"/>
      <c r="H10" s="3"/>
      <c r="I10" s="3"/>
      <c r="J10" s="8"/>
    </row>
    <row r="11" spans="5:10" x14ac:dyDescent="0.35">
      <c r="E11" s="29" t="s">
        <v>200</v>
      </c>
      <c r="F11" s="3" t="str">
        <f>VLOOKUP(B22,Tulokset!Z27:AB31,3,0)</f>
        <v>-</v>
      </c>
      <c r="G11" s="3"/>
      <c r="H11" s="3"/>
      <c r="I11" s="3"/>
      <c r="J11" s="8"/>
    </row>
    <row r="12" spans="5:10" x14ac:dyDescent="0.35">
      <c r="E12" s="29" t="s">
        <v>203</v>
      </c>
      <c r="F12" s="3" t="str">
        <f>VLOOKUP(B23,Tulokset!R36:T40,3,0)</f>
        <v>-</v>
      </c>
      <c r="G12" s="3"/>
      <c r="H12" s="3"/>
      <c r="I12" s="3"/>
      <c r="J12" s="8"/>
    </row>
    <row r="13" spans="5:10" x14ac:dyDescent="0.35">
      <c r="E13" s="29" t="s">
        <v>228</v>
      </c>
      <c r="F13" s="3" t="str">
        <f>VLOOKUP(B24,Tulokset!Z43:AB47,3,0)</f>
        <v>-</v>
      </c>
      <c r="G13" s="3"/>
      <c r="H13" s="3"/>
      <c r="I13" s="3"/>
      <c r="J13" s="8"/>
    </row>
    <row r="14" spans="5:10" x14ac:dyDescent="0.35">
      <c r="E14" s="29" t="s">
        <v>253</v>
      </c>
      <c r="F14" s="3" t="str">
        <f>VLOOKUP(B25,Tulokset!M60:N62,2,0)</f>
        <v>-</v>
      </c>
      <c r="G14" s="3"/>
      <c r="H14" s="3"/>
      <c r="I14" s="3"/>
      <c r="J14" s="8"/>
    </row>
    <row r="15" spans="5:10" x14ac:dyDescent="0.35">
      <c r="E15" s="29" t="s">
        <v>252</v>
      </c>
      <c r="F15" s="3" t="str">
        <f>VLOOKUP(B26,Tulokset!M52:N54,2,0)</f>
        <v>-</v>
      </c>
      <c r="G15" s="3"/>
      <c r="H15" s="3"/>
      <c r="I15" s="3"/>
      <c r="J15" s="8"/>
    </row>
    <row r="16" spans="5:10" x14ac:dyDescent="0.35">
      <c r="E16" s="29" t="s">
        <v>257</v>
      </c>
      <c r="F16" s="3" t="str">
        <f>VLOOKUP(B27,Tulokset!M56:N58,2,0)</f>
        <v>-</v>
      </c>
      <c r="G16" s="3"/>
      <c r="H16" s="3"/>
      <c r="I16" s="3"/>
      <c r="J16" s="8"/>
    </row>
    <row r="17" spans="1:13" ht="15" thickBot="1" x14ac:dyDescent="0.4">
      <c r="E17" s="30" t="s">
        <v>256</v>
      </c>
      <c r="F17" s="9" t="str">
        <f>VLOOKUP(B28,Tulokset!M64:N66,2,0)</f>
        <v>-</v>
      </c>
      <c r="G17" s="9"/>
      <c r="H17" s="9"/>
      <c r="I17" s="9"/>
      <c r="J17" s="10"/>
    </row>
    <row r="19" spans="1:13" ht="58" customHeight="1" thickBot="1" x14ac:dyDescent="0.4">
      <c r="B19" s="5" t="s">
        <v>271</v>
      </c>
      <c r="E19" s="12" t="s">
        <v>273</v>
      </c>
      <c r="F19" s="13" t="s">
        <v>278</v>
      </c>
      <c r="G19" s="13" t="s">
        <v>274</v>
      </c>
      <c r="H19" s="13" t="s">
        <v>275</v>
      </c>
      <c r="I19" s="13" t="s">
        <v>276</v>
      </c>
      <c r="J19" s="13" t="s">
        <v>279</v>
      </c>
      <c r="K19" s="13" t="s">
        <v>280</v>
      </c>
      <c r="L19" s="13" t="s">
        <v>284</v>
      </c>
      <c r="M19" s="13" t="s">
        <v>285</v>
      </c>
    </row>
    <row r="20" spans="1:13" ht="15" thickBot="1" x14ac:dyDescent="0.4">
      <c r="A20" s="46" t="s">
        <v>158</v>
      </c>
      <c r="B20" s="11" t="s">
        <v>272</v>
      </c>
      <c r="E20" s="12" t="str">
        <f>VLOOKUP(B20,Tulokset!A6:B13,2,1)</f>
        <v>-</v>
      </c>
      <c r="F20" s="12">
        <f>VLOOKUP(B20,Tulokset!I6:J13,2,0)</f>
        <v>0</v>
      </c>
      <c r="G20" s="14">
        <f>VLOOKUP(B20,Tulokset!A6:AF13,32,1)</f>
        <v>0</v>
      </c>
      <c r="H20" s="14">
        <f>VLOOKUP(B20,Tulokset!A6:AF13,30,1)</f>
        <v>0</v>
      </c>
      <c r="I20" s="14">
        <f>VLOOKUP(B20,Tulokset!A6:AF13,31,1)</f>
        <v>0</v>
      </c>
      <c r="J20" s="14">
        <f>(VLOOKUP(B20,Tulokset!A6:AF13,12,1))/1000</f>
        <v>0</v>
      </c>
      <c r="K20" s="14">
        <f>(VLOOKUP(B20,Tulokset!A6:AF13,13,1))/1000</f>
        <v>0</v>
      </c>
    </row>
    <row r="21" spans="1:13" ht="15" thickBot="1" x14ac:dyDescent="0.4">
      <c r="A21" s="46" t="s">
        <v>199</v>
      </c>
      <c r="B21" s="11" t="s">
        <v>272</v>
      </c>
      <c r="E21" s="12" t="str">
        <f>VLOOKUP(B21,Tulokset!A19:B23,2,1)</f>
        <v>-</v>
      </c>
      <c r="F21" s="12">
        <f>VLOOKUP(B21,Tulokset!A19:AJ23,32,1)</f>
        <v>0</v>
      </c>
      <c r="G21" s="14">
        <f>VLOOKUP(B21,Tulokset!A19:AJ23,36,1)</f>
        <v>0</v>
      </c>
      <c r="H21" s="14">
        <f>VLOOKUP(B21,Tulokset!A19:AJ23,34,1)</f>
        <v>0</v>
      </c>
      <c r="I21" s="14">
        <f>VLOOKUP(B21,Tulokset!A19:AJ23,35,1)</f>
        <v>0</v>
      </c>
      <c r="J21" s="14">
        <f>(VLOOKUP(B21,Tulokset!A19:AJ23,7,1))/1000</f>
        <v>0</v>
      </c>
      <c r="K21" s="14">
        <f>(VLOOKUP(B21,Tulokset!A19:AJ23,8,1))/1000</f>
        <v>0</v>
      </c>
    </row>
    <row r="22" spans="1:13" ht="15" thickBot="1" x14ac:dyDescent="0.4">
      <c r="A22" s="46" t="s">
        <v>200</v>
      </c>
      <c r="B22" s="11" t="s">
        <v>272</v>
      </c>
      <c r="E22" s="12" t="str">
        <f>VLOOKUP(B22,Tulokset!A27:B31,2,1)</f>
        <v>-</v>
      </c>
      <c r="F22" s="12">
        <f>VLOOKUP(B22,Tulokset!A27:X31,3,1)</f>
        <v>0</v>
      </c>
      <c r="G22" s="14">
        <f>VLOOKUP(B22,Tulokset!A27:X31,24,1)</f>
        <v>0</v>
      </c>
      <c r="H22" s="14">
        <f>VLOOKUP(B22,Tulokset!A27:X31,22,1)</f>
        <v>0</v>
      </c>
      <c r="I22" s="14">
        <f>VLOOKUP(B22,Tulokset!A27:X31,23,1)</f>
        <v>0</v>
      </c>
      <c r="J22" s="14">
        <f>(VLOOKUP(B22,Tulokset!A27:X31,4,1))/1000</f>
        <v>0</v>
      </c>
      <c r="K22" s="14">
        <f>(VLOOKUP(B22,Tulokset!A27:X31,5,1))/1000</f>
        <v>0</v>
      </c>
    </row>
    <row r="23" spans="1:13" ht="15" thickBot="1" x14ac:dyDescent="0.4">
      <c r="A23" s="46" t="s">
        <v>203</v>
      </c>
      <c r="B23" s="11" t="s">
        <v>272</v>
      </c>
      <c r="E23" s="12" t="str">
        <f>VLOOKUP(B23,Tulokset!A36:B40,2,1)</f>
        <v>-</v>
      </c>
      <c r="F23" s="15">
        <f>VLOOKUP(B23,Tulokset!A36:Q40,6)</f>
        <v>0</v>
      </c>
      <c r="G23" s="14">
        <f>VLOOKUP(B23,Tulokset!A36:Q40,15)</f>
        <v>0</v>
      </c>
      <c r="H23" s="14">
        <f>VLOOKUP(B23,Tulokset!A36:Q40,13)</f>
        <v>0</v>
      </c>
      <c r="I23" s="14">
        <f>VLOOKUP(B23,Tulokset!A36:Q40,14)</f>
        <v>0</v>
      </c>
      <c r="J23" s="14">
        <f>VLOOKUP(B23,Tulokset!A36:Q40,7)</f>
        <v>0</v>
      </c>
      <c r="K23" s="14">
        <f>VLOOKUP(B23,Tulokset!A36:Q40,8)</f>
        <v>0</v>
      </c>
      <c r="L23" s="2">
        <f>VLOOKUP(B23,Tulokset!A36:Q40,3)</f>
        <v>0</v>
      </c>
      <c r="M23" s="2">
        <f>VLOOKUP(B23,Tulokset!A36:Q40,4)</f>
        <v>0</v>
      </c>
    </row>
    <row r="24" spans="1:13" ht="15" thickBot="1" x14ac:dyDescent="0.4">
      <c r="A24" s="46" t="s">
        <v>228</v>
      </c>
      <c r="B24" s="11" t="s">
        <v>272</v>
      </c>
      <c r="E24" s="12" t="str">
        <f>VLOOKUP(B24,Tulokset!A43:B47,2,1)</f>
        <v>-</v>
      </c>
      <c r="F24" s="12">
        <f>VLOOKUP(B24,Tulokset!A43:X47,3,1)</f>
        <v>0</v>
      </c>
      <c r="G24" s="14">
        <f>VLOOKUP(B24,Tulokset!A43:X47,24,1)</f>
        <v>0</v>
      </c>
      <c r="H24" s="14">
        <f>VLOOKUP(B24,Tulokset!A43:X47,22,1)</f>
        <v>0</v>
      </c>
      <c r="I24" s="14">
        <f>VLOOKUP(B24,Tulokset!A43:X47,23,1)</f>
        <v>0</v>
      </c>
      <c r="J24" s="14">
        <f>(VLOOKUP(B24,Tulokset!A43:X47,4,1))/1000</f>
        <v>0</v>
      </c>
      <c r="K24" s="14">
        <f>(VLOOKUP(B24,Tulokset!A43:X47,5,1))/1000</f>
        <v>0</v>
      </c>
    </row>
    <row r="25" spans="1:13" ht="15" thickBot="1" x14ac:dyDescent="0.4">
      <c r="A25" s="46" t="s">
        <v>253</v>
      </c>
      <c r="B25" s="11" t="s">
        <v>272</v>
      </c>
      <c r="E25" s="12" t="str">
        <f>VLOOKUP(B25,Tulokset!A60:K62,2,0)</f>
        <v>-</v>
      </c>
      <c r="F25" s="12"/>
      <c r="G25" s="14" t="str">
        <f>VLOOKUP(B25,Tulokset!A60:K62,11,0)</f>
        <v>-</v>
      </c>
      <c r="H25" s="12"/>
      <c r="I25" s="12"/>
      <c r="J25" s="12"/>
      <c r="K25" s="12"/>
    </row>
    <row r="26" spans="1:13" ht="15" thickBot="1" x14ac:dyDescent="0.4">
      <c r="A26" s="46" t="s">
        <v>252</v>
      </c>
      <c r="B26" s="11" t="s">
        <v>272</v>
      </c>
      <c r="E26" s="12" t="str">
        <f>VLOOKUP(B26,Tulokset!A52:K54,2,0)</f>
        <v>-</v>
      </c>
      <c r="F26" s="12"/>
      <c r="G26" s="14" t="str">
        <f>VLOOKUP(B26,Tulokset!A52:K54,11,0)</f>
        <v>-</v>
      </c>
      <c r="H26" s="12"/>
      <c r="I26" s="12"/>
      <c r="J26" s="12"/>
      <c r="K26" s="12"/>
    </row>
    <row r="27" spans="1:13" ht="15" thickBot="1" x14ac:dyDescent="0.4">
      <c r="A27" s="46" t="s">
        <v>257</v>
      </c>
      <c r="B27" s="11" t="s">
        <v>272</v>
      </c>
      <c r="E27" s="12" t="str">
        <f>VLOOKUP(B27,Tulokset!A56:K58,2,0)</f>
        <v>-</v>
      </c>
      <c r="F27" s="12"/>
      <c r="G27" s="14" t="str">
        <f>VLOOKUP(B27,Tulokset!A56:K58,11,0)</f>
        <v>-</v>
      </c>
      <c r="H27" s="12"/>
      <c r="I27" s="12"/>
      <c r="J27" s="12"/>
      <c r="K27" s="12"/>
    </row>
    <row r="28" spans="1:13" ht="15" thickBot="1" x14ac:dyDescent="0.4">
      <c r="A28" s="46" t="s">
        <v>256</v>
      </c>
      <c r="B28" s="11" t="s">
        <v>259</v>
      </c>
      <c r="E28" s="12" t="str">
        <f>VLOOKUP(B28,Tulokset!A56:K58,2,0)</f>
        <v>EI</v>
      </c>
      <c r="F28" s="12"/>
      <c r="G28" s="14">
        <f>VLOOKUP(B28,Tulokset!A56:K58,11,0)</f>
        <v>0</v>
      </c>
      <c r="H28" s="12"/>
      <c r="I28" s="12"/>
      <c r="J28" s="12"/>
      <c r="K28" s="12"/>
    </row>
    <row r="30" spans="1:13" x14ac:dyDescent="0.35">
      <c r="F30" t="s">
        <v>289</v>
      </c>
      <c r="G30" s="14">
        <f>SUM(G20:G28)</f>
        <v>0</v>
      </c>
    </row>
  </sheetData>
  <conditionalFormatting sqref="G20">
    <cfRule type="cellIs" dxfId="280" priority="19" operator="lessThan">
      <formula>0</formula>
    </cfRule>
    <cfRule type="cellIs" dxfId="279" priority="20" operator="greaterThan">
      <formula>0</formula>
    </cfRule>
  </conditionalFormatting>
  <conditionalFormatting sqref="G21">
    <cfRule type="cellIs" dxfId="278" priority="17" operator="lessThan">
      <formula>0</formula>
    </cfRule>
    <cfRule type="cellIs" dxfId="277" priority="18" operator="greaterThan">
      <formula>0</formula>
    </cfRule>
  </conditionalFormatting>
  <conditionalFormatting sqref="G22">
    <cfRule type="cellIs" dxfId="276" priority="15" operator="lessThan">
      <formula>0</formula>
    </cfRule>
    <cfRule type="cellIs" dxfId="275" priority="16" operator="greaterThan">
      <formula>0</formula>
    </cfRule>
  </conditionalFormatting>
  <conditionalFormatting sqref="G23">
    <cfRule type="cellIs" dxfId="274" priority="13" operator="lessThan">
      <formula>0</formula>
    </cfRule>
    <cfRule type="cellIs" dxfId="273" priority="14" operator="greaterThan">
      <formula>0</formula>
    </cfRule>
  </conditionalFormatting>
  <conditionalFormatting sqref="G24">
    <cfRule type="cellIs" dxfId="272" priority="11" operator="lessThan">
      <formula>0</formula>
    </cfRule>
    <cfRule type="cellIs" dxfId="271" priority="12" operator="greaterThan">
      <formula>0</formula>
    </cfRule>
  </conditionalFormatting>
  <conditionalFormatting sqref="G25:G28">
    <cfRule type="cellIs" dxfId="270" priority="9" operator="lessThan">
      <formula>0</formula>
    </cfRule>
    <cfRule type="cellIs" dxfId="269" priority="10" operator="greaterThan">
      <formula>0</formula>
    </cfRule>
  </conditionalFormatting>
  <conditionalFormatting sqref="G25">
    <cfRule type="cellIs" dxfId="268" priority="6" operator="greaterThan">
      <formula>0</formula>
    </cfRule>
  </conditionalFormatting>
  <conditionalFormatting sqref="G30">
    <cfRule type="colorScale" priority="1">
      <colorScale>
        <cfvo type="num" val="-700"/>
        <cfvo type="num" val="800"/>
        <color rgb="FF00B050"/>
        <color rgb="FFFF0000"/>
      </colorScale>
    </cfRule>
  </conditionalFormatting>
  <pageMargins left="0.7" right="0.7" top="0.75" bottom="0.75" header="0.3" footer="0.3"/>
  <pageSetup paperSize="9" orientation="portrait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xr:uid="{E2492910-0650-41B7-A4E9-7D34F46DEA1E}">
          <x14:formula1>
            <xm:f>Tulokset!$A$6:$A$13</xm:f>
          </x14:formula1>
          <xm:sqref>B20</xm:sqref>
        </x14:dataValidation>
        <x14:dataValidation type="list" allowBlank="1" showInputMessage="1" showErrorMessage="1" xr:uid="{1885C8BB-A81F-4563-86E8-094786D222C5}">
          <x14:formula1>
            <xm:f>Tulokset!$A$19:$A$23</xm:f>
          </x14:formula1>
          <xm:sqref>B21</xm:sqref>
        </x14:dataValidation>
        <x14:dataValidation type="list" allowBlank="1" showInputMessage="1" showErrorMessage="1" xr:uid="{A9FC339B-383D-46D6-8A50-90CDCA375884}">
          <x14:formula1>
            <xm:f>Tulokset!$A$27:$A$31</xm:f>
          </x14:formula1>
          <xm:sqref>B22</xm:sqref>
        </x14:dataValidation>
        <x14:dataValidation type="list" allowBlank="1" showInputMessage="1" showErrorMessage="1" xr:uid="{BEDC922C-5A0E-4FCD-8F26-381D841C6AAF}">
          <x14:formula1>
            <xm:f>Tulokset!$A$43:$A$47</xm:f>
          </x14:formula1>
          <xm:sqref>B24</xm:sqref>
        </x14:dataValidation>
        <x14:dataValidation type="list" allowBlank="1" showInputMessage="1" showErrorMessage="1" xr:uid="{E992DF7F-414E-49B8-A405-D6A8EDB9E149}">
          <x14:formula1>
            <xm:f>Tulokset!$A$36:$A$40</xm:f>
          </x14:formula1>
          <xm:sqref>B23</xm:sqref>
        </x14:dataValidation>
        <x14:dataValidation type="list" allowBlank="1" showInputMessage="1" showErrorMessage="1" xr:uid="{96FCC2A3-0573-465C-B218-F4576CCB9ADD}">
          <x14:formula1>
            <xm:f>Tulokset!$A$52:$A$54</xm:f>
          </x14:formula1>
          <xm:sqref>B26</xm:sqref>
        </x14:dataValidation>
        <x14:dataValidation type="list" allowBlank="1" showInputMessage="1" showErrorMessage="1" xr:uid="{186052B7-BFC5-4C41-ADE2-D22FFCC0A76C}">
          <x14:formula1>
            <xm:f>Tulokset!$A$56:$A$58</xm:f>
          </x14:formula1>
          <xm:sqref>B27</xm:sqref>
        </x14:dataValidation>
        <x14:dataValidation type="list" allowBlank="1" showInputMessage="1" showErrorMessage="1" xr:uid="{68C03BF1-1DE0-4885-A7FC-F8F373A47C4B}">
          <x14:formula1>
            <xm:f>Tulokset!$A$60:$A$62</xm:f>
          </x14:formula1>
          <xm:sqref>B25</xm:sqref>
        </x14:dataValidation>
        <x14:dataValidation type="list" allowBlank="1" showInputMessage="1" showErrorMessage="1" xr:uid="{A4B0E9A1-13C3-47B3-9FB4-C209ACE4F349}">
          <x14:formula1>
            <xm:f>Tulokset!$A$64:$A$66</xm:f>
          </x14:formula1>
          <xm:sqref>B28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F4A4BA-7B75-4E01-90BE-EE49ADEF637C}">
  <sheetPr codeName="Taul8"/>
  <dimension ref="A1:AN193"/>
  <sheetViews>
    <sheetView topLeftCell="A127" zoomScale="50" zoomScaleNormal="50" workbookViewId="0">
      <selection sqref="A1:XFD1048576"/>
    </sheetView>
  </sheetViews>
  <sheetFormatPr defaultRowHeight="14.5" x14ac:dyDescent="0.35"/>
  <cols>
    <col min="1" max="1" width="16.6328125" style="49" customWidth="1"/>
    <col min="2" max="2" width="18" style="49" customWidth="1"/>
    <col min="3" max="3" width="26.08984375" style="49" customWidth="1"/>
    <col min="4" max="4" width="19.7265625" style="49" customWidth="1"/>
    <col min="5" max="5" width="19" style="49" customWidth="1"/>
    <col min="6" max="6" width="16.6328125" style="49" customWidth="1"/>
    <col min="7" max="7" width="18.08984375" style="49" customWidth="1"/>
    <col min="8" max="8" width="16.6328125" style="49" customWidth="1"/>
    <col min="9" max="9" width="18.36328125" style="49" customWidth="1"/>
    <col min="10" max="11" width="18.453125" style="49" customWidth="1"/>
    <col min="12" max="15" width="8.7265625" style="49"/>
    <col min="16" max="16" width="16.26953125" style="49" bestFit="1" customWidth="1"/>
    <col min="17" max="17" width="14.26953125" style="49" bestFit="1" customWidth="1"/>
    <col min="18" max="18" width="8.7265625" style="49"/>
    <col min="19" max="19" width="8.81640625" style="49" bestFit="1" customWidth="1"/>
    <col min="20" max="20" width="8.7265625" style="49"/>
    <col min="21" max="21" width="9.7265625" style="49" bestFit="1" customWidth="1"/>
    <col min="22" max="16384" width="8.7265625" style="49"/>
  </cols>
  <sheetData>
    <row r="1" spans="1:40" ht="16.5" x14ac:dyDescent="0.45">
      <c r="A1" s="201" t="s">
        <v>349</v>
      </c>
      <c r="B1" s="201"/>
      <c r="C1" s="201"/>
      <c r="D1" s="201"/>
      <c r="E1" s="201"/>
      <c r="F1" s="201"/>
      <c r="G1" s="201"/>
      <c r="H1" s="201"/>
      <c r="I1" s="201"/>
    </row>
    <row r="2" spans="1:40" ht="16.5" x14ac:dyDescent="0.45">
      <c r="A2" s="201"/>
      <c r="B2" s="201"/>
      <c r="C2" s="201"/>
      <c r="D2" s="201"/>
      <c r="E2" s="201"/>
      <c r="F2" s="201"/>
      <c r="G2" s="201"/>
      <c r="H2" s="201"/>
      <c r="I2" s="201"/>
    </row>
    <row r="3" spans="1:40" ht="27.5" x14ac:dyDescent="0.55000000000000004">
      <c r="A3" s="267" t="s">
        <v>159</v>
      </c>
      <c r="B3" s="267"/>
      <c r="C3" s="267"/>
      <c r="D3" s="267"/>
      <c r="E3" s="267"/>
      <c r="F3" s="267"/>
      <c r="G3" s="267"/>
      <c r="H3" s="267"/>
      <c r="I3" s="267"/>
      <c r="J3" s="202"/>
      <c r="K3" s="202"/>
    </row>
    <row r="4" spans="1:40" ht="82.5" x14ac:dyDescent="0.7">
      <c r="A4" s="203" t="s">
        <v>36</v>
      </c>
      <c r="B4" s="203" t="s">
        <v>37</v>
      </c>
      <c r="C4" s="203" t="s">
        <v>38</v>
      </c>
      <c r="D4" s="203" t="s">
        <v>111</v>
      </c>
      <c r="E4" s="203" t="s">
        <v>112</v>
      </c>
      <c r="F4" s="203" t="s">
        <v>132</v>
      </c>
      <c r="G4" s="204"/>
      <c r="H4" s="203" t="s">
        <v>133</v>
      </c>
      <c r="I4" s="204"/>
      <c r="J4" s="203" t="s">
        <v>134</v>
      </c>
      <c r="K4" s="203" t="s">
        <v>47</v>
      </c>
      <c r="L4" s="204"/>
      <c r="M4" s="204"/>
      <c r="N4" s="204"/>
      <c r="O4" s="204"/>
      <c r="P4" s="204"/>
      <c r="Q4" s="204"/>
      <c r="R4" s="204"/>
      <c r="S4" s="204"/>
      <c r="T4" s="204"/>
      <c r="U4" s="204"/>
      <c r="V4" s="204"/>
      <c r="W4" s="204"/>
      <c r="X4" s="204"/>
      <c r="Y4" s="204"/>
      <c r="Z4" s="204"/>
      <c r="AA4" s="204"/>
      <c r="AB4" s="204"/>
      <c r="AC4" s="204"/>
      <c r="AD4" s="204"/>
      <c r="AE4" s="204"/>
      <c r="AF4" s="204"/>
      <c r="AG4" s="204"/>
      <c r="AH4" s="204"/>
      <c r="AI4" s="204"/>
      <c r="AJ4" s="204"/>
      <c r="AK4" s="204"/>
      <c r="AL4" s="204"/>
      <c r="AM4" s="204"/>
      <c r="AN4" s="204"/>
    </row>
    <row r="5" spans="1:40" ht="27.5" x14ac:dyDescent="0.7">
      <c r="A5" s="205"/>
      <c r="B5" s="205"/>
      <c r="C5" s="205"/>
      <c r="D5" s="205"/>
      <c r="E5" s="205"/>
      <c r="F5" s="205"/>
      <c r="G5" s="202"/>
      <c r="H5" s="205"/>
      <c r="I5" s="202"/>
      <c r="J5" s="205"/>
      <c r="K5" s="205"/>
      <c r="L5" s="204"/>
      <c r="M5" s="204"/>
      <c r="N5" s="204"/>
      <c r="O5" s="204"/>
      <c r="P5" s="204"/>
      <c r="Q5" s="204"/>
      <c r="R5" s="204"/>
      <c r="S5" s="204"/>
      <c r="T5" s="204"/>
      <c r="U5" s="204"/>
      <c r="V5" s="204"/>
      <c r="W5" s="204"/>
      <c r="X5" s="204"/>
      <c r="Y5" s="204"/>
      <c r="Z5" s="204"/>
      <c r="AA5" s="204"/>
      <c r="AB5" s="204"/>
      <c r="AC5" s="204"/>
      <c r="AD5" s="204"/>
      <c r="AE5" s="204"/>
      <c r="AF5" s="204"/>
      <c r="AG5" s="204"/>
      <c r="AH5" s="204"/>
      <c r="AI5" s="204"/>
      <c r="AJ5" s="204"/>
      <c r="AK5" s="204"/>
      <c r="AL5" s="204"/>
      <c r="AM5" s="204"/>
      <c r="AN5" s="204"/>
    </row>
    <row r="6" spans="1:40" ht="27.5" x14ac:dyDescent="0.7">
      <c r="A6" s="205"/>
      <c r="B6" s="205"/>
      <c r="C6" s="205"/>
      <c r="D6" s="205"/>
      <c r="E6" s="205"/>
      <c r="F6" s="205"/>
      <c r="G6" s="202"/>
      <c r="H6" s="205"/>
      <c r="I6" s="202"/>
      <c r="J6" s="205"/>
      <c r="K6" s="205"/>
      <c r="L6" s="204"/>
      <c r="M6" s="204"/>
      <c r="N6" s="204"/>
      <c r="O6" s="204"/>
      <c r="P6" s="204"/>
      <c r="Q6" s="204"/>
      <c r="R6" s="204"/>
      <c r="S6" s="204"/>
      <c r="T6" s="204"/>
      <c r="U6" s="204"/>
      <c r="V6" s="204"/>
      <c r="W6" s="204"/>
      <c r="X6" s="204"/>
      <c r="Y6" s="204"/>
      <c r="Z6" s="204"/>
      <c r="AA6" s="204"/>
      <c r="AB6" s="204"/>
      <c r="AC6" s="204"/>
      <c r="AD6" s="204"/>
      <c r="AE6" s="204"/>
      <c r="AF6" s="204"/>
      <c r="AG6" s="204"/>
      <c r="AH6" s="204"/>
      <c r="AI6" s="204"/>
      <c r="AJ6" s="204"/>
      <c r="AK6" s="204"/>
      <c r="AL6" s="204"/>
      <c r="AM6" s="204"/>
      <c r="AN6" s="204"/>
    </row>
    <row r="7" spans="1:40" ht="55" x14ac:dyDescent="0.7">
      <c r="A7" s="206" t="s">
        <v>36</v>
      </c>
      <c r="B7" s="205" t="s">
        <v>37</v>
      </c>
      <c r="C7" s="205" t="s">
        <v>38</v>
      </c>
      <c r="D7" s="205" t="s">
        <v>265</v>
      </c>
      <c r="E7" s="205" t="s">
        <v>264</v>
      </c>
      <c r="F7" s="205" t="s">
        <v>115</v>
      </c>
      <c r="G7" s="202" t="s">
        <v>44</v>
      </c>
      <c r="H7" s="205" t="s">
        <v>116</v>
      </c>
      <c r="I7" s="202" t="s">
        <v>117</v>
      </c>
      <c r="J7" s="205" t="s">
        <v>114</v>
      </c>
      <c r="K7" s="207" t="s">
        <v>263</v>
      </c>
      <c r="L7" s="204"/>
      <c r="M7" s="204"/>
      <c r="N7" s="204"/>
      <c r="O7" s="204"/>
      <c r="P7" s="204"/>
      <c r="Q7" s="204"/>
      <c r="R7" s="204"/>
      <c r="S7" s="204"/>
      <c r="T7" s="204"/>
      <c r="U7" s="204"/>
      <c r="V7" s="204"/>
      <c r="W7" s="204"/>
      <c r="X7" s="204"/>
      <c r="Y7" s="204"/>
      <c r="Z7" s="204"/>
      <c r="AA7" s="204"/>
      <c r="AB7" s="204"/>
      <c r="AC7" s="204"/>
      <c r="AD7" s="204"/>
      <c r="AE7" s="204"/>
      <c r="AF7" s="204"/>
      <c r="AG7" s="204"/>
      <c r="AH7" s="204"/>
      <c r="AI7" s="204"/>
      <c r="AJ7" s="204"/>
      <c r="AK7" s="204"/>
      <c r="AL7" s="204"/>
      <c r="AM7" s="204"/>
      <c r="AN7" s="204"/>
    </row>
    <row r="8" spans="1:40" ht="82.5" x14ac:dyDescent="0.7">
      <c r="A8" s="206" t="s">
        <v>135</v>
      </c>
      <c r="B8" s="205" t="s">
        <v>136</v>
      </c>
      <c r="C8" s="205" t="s">
        <v>137</v>
      </c>
      <c r="D8" s="205">
        <v>450</v>
      </c>
      <c r="E8" s="205">
        <v>189.5</v>
      </c>
      <c r="F8" s="205">
        <v>1.02</v>
      </c>
      <c r="G8" s="202">
        <f t="shared" ref="G8:G39" si="0">(E8*J8)*F8</f>
        <v>5798.7</v>
      </c>
      <c r="H8" s="205">
        <v>1.1000000000000001</v>
      </c>
      <c r="I8" s="202">
        <f t="shared" ref="I8:I39" si="1">(E8*J8)*H8</f>
        <v>6253.5000000000009</v>
      </c>
      <c r="J8" s="205">
        <v>30</v>
      </c>
      <c r="K8" s="207" t="s">
        <v>57</v>
      </c>
      <c r="L8" s="204"/>
      <c r="M8" s="204"/>
      <c r="N8" s="204"/>
      <c r="O8" s="204"/>
      <c r="P8" s="204"/>
      <c r="Q8" s="204"/>
      <c r="R8" s="204"/>
      <c r="S8" s="204"/>
      <c r="T8" s="204"/>
      <c r="U8" s="204"/>
      <c r="V8" s="204"/>
      <c r="W8" s="204"/>
      <c r="X8" s="204"/>
      <c r="Y8" s="204"/>
      <c r="Z8" s="204"/>
      <c r="AA8" s="204"/>
      <c r="AB8" s="204"/>
      <c r="AC8" s="204"/>
      <c r="AD8" s="204"/>
      <c r="AE8" s="204"/>
      <c r="AF8" s="204"/>
      <c r="AG8" s="204"/>
      <c r="AH8" s="204"/>
      <c r="AI8" s="204"/>
      <c r="AJ8" s="204"/>
      <c r="AK8" s="204"/>
      <c r="AL8" s="204"/>
      <c r="AM8" s="204"/>
      <c r="AN8" s="204"/>
    </row>
    <row r="9" spans="1:40" ht="82.5" x14ac:dyDescent="0.7">
      <c r="A9" s="206" t="s">
        <v>79</v>
      </c>
      <c r="B9" s="205" t="s">
        <v>136</v>
      </c>
      <c r="C9" s="205" t="s">
        <v>15</v>
      </c>
      <c r="D9" s="205">
        <v>13</v>
      </c>
      <c r="E9" s="205">
        <v>5.2</v>
      </c>
      <c r="F9" s="205">
        <v>0.28000000000000003</v>
      </c>
      <c r="G9" s="202">
        <f t="shared" si="0"/>
        <v>1274.0000000000002</v>
      </c>
      <c r="H9" s="205">
        <v>0</v>
      </c>
      <c r="I9" s="202">
        <f t="shared" si="1"/>
        <v>0</v>
      </c>
      <c r="J9" s="205">
        <v>875</v>
      </c>
      <c r="K9" s="207" t="s">
        <v>57</v>
      </c>
      <c r="L9" s="204"/>
      <c r="M9" s="204"/>
      <c r="N9" s="204"/>
      <c r="O9" s="204"/>
      <c r="P9" s="204"/>
      <c r="Q9" s="204"/>
      <c r="R9" s="204"/>
      <c r="S9" s="204"/>
      <c r="T9" s="204"/>
      <c r="U9" s="204"/>
      <c r="V9" s="204"/>
      <c r="W9" s="204"/>
      <c r="X9" s="204"/>
      <c r="Y9" s="204"/>
      <c r="Z9" s="204"/>
      <c r="AA9" s="204"/>
      <c r="AB9" s="204"/>
      <c r="AC9" s="204"/>
      <c r="AD9" s="204"/>
      <c r="AE9" s="204"/>
      <c r="AF9" s="204"/>
      <c r="AG9" s="204"/>
      <c r="AH9" s="204"/>
      <c r="AI9" s="204"/>
      <c r="AJ9" s="204"/>
      <c r="AK9" s="204"/>
      <c r="AL9" s="204"/>
      <c r="AM9" s="204"/>
      <c r="AN9" s="204"/>
    </row>
    <row r="10" spans="1:40" ht="110" x14ac:dyDescent="0.7">
      <c r="A10" s="206" t="s">
        <v>98</v>
      </c>
      <c r="B10" s="205" t="s">
        <v>99</v>
      </c>
      <c r="C10" s="205" t="s">
        <v>100</v>
      </c>
      <c r="D10" s="205">
        <v>125</v>
      </c>
      <c r="E10" s="205">
        <v>12.7</v>
      </c>
      <c r="F10" s="205">
        <v>0.36</v>
      </c>
      <c r="G10" s="202">
        <f t="shared" si="0"/>
        <v>2944.3679999999995</v>
      </c>
      <c r="H10" s="205">
        <v>0</v>
      </c>
      <c r="I10" s="202">
        <f t="shared" si="1"/>
        <v>0</v>
      </c>
      <c r="J10" s="205">
        <v>644</v>
      </c>
      <c r="K10" s="207" t="s">
        <v>57</v>
      </c>
      <c r="L10" s="204"/>
      <c r="M10" s="204"/>
      <c r="N10" s="204"/>
      <c r="O10" s="204"/>
      <c r="P10" s="204"/>
      <c r="Q10" s="204"/>
      <c r="R10" s="204"/>
      <c r="S10" s="204"/>
      <c r="T10" s="204"/>
      <c r="U10" s="204"/>
      <c r="V10" s="204"/>
      <c r="W10" s="204"/>
      <c r="X10" s="204"/>
      <c r="Y10" s="204"/>
      <c r="Z10" s="204"/>
      <c r="AA10" s="204"/>
      <c r="AB10" s="204"/>
      <c r="AC10" s="204"/>
      <c r="AD10" s="204"/>
      <c r="AE10" s="204"/>
      <c r="AF10" s="204"/>
      <c r="AG10" s="204"/>
      <c r="AH10" s="204"/>
      <c r="AI10" s="204"/>
      <c r="AJ10" s="204"/>
      <c r="AK10" s="204"/>
      <c r="AL10" s="204"/>
      <c r="AM10" s="204"/>
      <c r="AN10" s="204"/>
    </row>
    <row r="11" spans="1:40" ht="110" x14ac:dyDescent="0.7">
      <c r="A11" s="206" t="s">
        <v>58</v>
      </c>
      <c r="B11" s="205" t="s">
        <v>108</v>
      </c>
      <c r="C11" s="205" t="s">
        <v>32</v>
      </c>
      <c r="D11" s="205">
        <v>200</v>
      </c>
      <c r="E11" s="205">
        <v>64.7</v>
      </c>
      <c r="F11" s="205">
        <v>0.19</v>
      </c>
      <c r="G11" s="202">
        <f t="shared" si="0"/>
        <v>29503.200000000001</v>
      </c>
      <c r="H11" s="205">
        <v>0</v>
      </c>
      <c r="I11" s="202">
        <f t="shared" si="1"/>
        <v>0</v>
      </c>
      <c r="J11" s="205">
        <v>2400</v>
      </c>
      <c r="K11" s="207" t="s">
        <v>57</v>
      </c>
      <c r="L11" s="204"/>
      <c r="M11" s="204"/>
      <c r="N11" s="204"/>
      <c r="O11" s="204"/>
      <c r="P11" s="204"/>
      <c r="Q11" s="204"/>
      <c r="R11" s="204"/>
      <c r="S11" s="204"/>
      <c r="T11" s="204"/>
      <c r="U11" s="204"/>
      <c r="V11" s="204"/>
      <c r="W11" s="204"/>
      <c r="X11" s="204"/>
      <c r="Y11" s="204"/>
      <c r="Z11" s="204"/>
      <c r="AA11" s="204"/>
      <c r="AB11" s="204"/>
      <c r="AC11" s="204"/>
      <c r="AD11" s="204"/>
      <c r="AE11" s="204"/>
      <c r="AF11" s="204"/>
      <c r="AG11" s="204"/>
      <c r="AH11" s="204"/>
      <c r="AI11" s="204"/>
      <c r="AJ11" s="204"/>
      <c r="AK11" s="204"/>
      <c r="AL11" s="204"/>
      <c r="AM11" s="204"/>
      <c r="AN11" s="204"/>
    </row>
    <row r="12" spans="1:40" ht="55" x14ac:dyDescent="0.7">
      <c r="A12" s="206" t="s">
        <v>58</v>
      </c>
      <c r="B12" s="205" t="s">
        <v>103</v>
      </c>
      <c r="C12" s="205" t="s">
        <v>32</v>
      </c>
      <c r="D12" s="205">
        <v>300</v>
      </c>
      <c r="E12" s="205">
        <v>16.2</v>
      </c>
      <c r="F12" s="205">
        <v>0.19</v>
      </c>
      <c r="G12" s="202">
        <f t="shared" si="0"/>
        <v>7387.2</v>
      </c>
      <c r="H12" s="205">
        <v>0</v>
      </c>
      <c r="I12" s="202">
        <f t="shared" si="1"/>
        <v>0</v>
      </c>
      <c r="J12" s="205">
        <v>2400</v>
      </c>
      <c r="K12" s="207" t="s">
        <v>54</v>
      </c>
      <c r="L12" s="204"/>
      <c r="M12" s="204"/>
      <c r="N12" s="204"/>
      <c r="O12" s="204"/>
      <c r="P12" s="204"/>
      <c r="Q12" s="204"/>
      <c r="R12" s="204"/>
      <c r="S12" s="204"/>
      <c r="T12" s="204"/>
      <c r="U12" s="204"/>
      <c r="V12" s="204"/>
      <c r="W12" s="204"/>
      <c r="X12" s="204"/>
      <c r="Y12" s="204"/>
      <c r="Z12" s="204"/>
      <c r="AA12" s="204"/>
      <c r="AB12" s="204"/>
      <c r="AC12" s="204"/>
      <c r="AD12" s="204"/>
      <c r="AE12" s="204"/>
      <c r="AF12" s="204"/>
      <c r="AG12" s="204"/>
      <c r="AH12" s="204"/>
      <c r="AI12" s="204"/>
      <c r="AJ12" s="204"/>
      <c r="AK12" s="204"/>
      <c r="AL12" s="204"/>
      <c r="AM12" s="204"/>
      <c r="AN12" s="204"/>
    </row>
    <row r="13" spans="1:40" ht="55" x14ac:dyDescent="0.7">
      <c r="A13" s="206" t="s">
        <v>50</v>
      </c>
      <c r="B13" s="205" t="s">
        <v>97</v>
      </c>
      <c r="C13" s="205" t="s">
        <v>52</v>
      </c>
      <c r="D13" s="205">
        <v>66</v>
      </c>
      <c r="E13" s="205">
        <v>74.8</v>
      </c>
      <c r="F13" s="205">
        <v>1.5</v>
      </c>
      <c r="G13" s="202">
        <f t="shared" si="0"/>
        <v>6844.2000000000007</v>
      </c>
      <c r="H13" s="205">
        <v>0</v>
      </c>
      <c r="I13" s="202">
        <f t="shared" si="1"/>
        <v>0</v>
      </c>
      <c r="J13" s="205">
        <v>61</v>
      </c>
      <c r="K13" s="207" t="s">
        <v>54</v>
      </c>
      <c r="L13" s="204"/>
      <c r="M13" s="204"/>
      <c r="N13" s="204"/>
      <c r="O13" s="204"/>
      <c r="P13" s="204"/>
      <c r="Q13" s="204"/>
      <c r="R13" s="204"/>
      <c r="S13" s="204"/>
      <c r="T13" s="204"/>
      <c r="U13" s="204"/>
      <c r="V13" s="204"/>
      <c r="W13" s="204"/>
      <c r="X13" s="204"/>
      <c r="Y13" s="204"/>
      <c r="Z13" s="204"/>
      <c r="AA13" s="204"/>
      <c r="AB13" s="204"/>
      <c r="AC13" s="204"/>
      <c r="AD13" s="204"/>
      <c r="AE13" s="204"/>
      <c r="AF13" s="204"/>
      <c r="AG13" s="204"/>
      <c r="AH13" s="204"/>
      <c r="AI13" s="204"/>
      <c r="AJ13" s="204"/>
      <c r="AK13" s="204"/>
      <c r="AL13" s="204"/>
      <c r="AM13" s="204"/>
      <c r="AN13" s="204"/>
    </row>
    <row r="14" spans="1:40" ht="55" x14ac:dyDescent="0.7">
      <c r="A14" s="206" t="s">
        <v>79</v>
      </c>
      <c r="B14" s="205" t="s">
        <v>97</v>
      </c>
      <c r="C14" s="205" t="s">
        <v>15</v>
      </c>
      <c r="D14" s="205">
        <v>13</v>
      </c>
      <c r="E14" s="205">
        <v>17.600000000000001</v>
      </c>
      <c r="F14" s="205">
        <v>0.28000000000000003</v>
      </c>
      <c r="G14" s="202">
        <f t="shared" si="0"/>
        <v>4312.0000000000009</v>
      </c>
      <c r="H14" s="205">
        <v>0</v>
      </c>
      <c r="I14" s="202">
        <f t="shared" si="1"/>
        <v>0</v>
      </c>
      <c r="J14" s="205">
        <v>875</v>
      </c>
      <c r="K14" s="207" t="s">
        <v>54</v>
      </c>
      <c r="L14" s="204"/>
      <c r="M14" s="204"/>
      <c r="N14" s="204"/>
      <c r="O14" s="204"/>
      <c r="P14" s="204"/>
      <c r="Q14" s="204"/>
      <c r="R14" s="204"/>
      <c r="S14" s="204"/>
      <c r="T14" s="204"/>
      <c r="U14" s="204"/>
      <c r="V14" s="204"/>
      <c r="W14" s="204"/>
      <c r="X14" s="204"/>
      <c r="Y14" s="204"/>
      <c r="Z14" s="204"/>
      <c r="AA14" s="204"/>
      <c r="AB14" s="204"/>
      <c r="AC14" s="204"/>
      <c r="AD14" s="204"/>
      <c r="AE14" s="204"/>
      <c r="AF14" s="204"/>
      <c r="AG14" s="204"/>
      <c r="AH14" s="204"/>
      <c r="AI14" s="204"/>
      <c r="AJ14" s="204"/>
      <c r="AK14" s="204"/>
      <c r="AL14" s="204"/>
      <c r="AM14" s="204"/>
      <c r="AN14" s="204"/>
    </row>
    <row r="15" spans="1:40" ht="55" x14ac:dyDescent="0.7">
      <c r="A15" s="206" t="s">
        <v>79</v>
      </c>
      <c r="B15" s="205" t="s">
        <v>97</v>
      </c>
      <c r="C15" s="205" t="s">
        <v>15</v>
      </c>
      <c r="D15" s="205">
        <v>13</v>
      </c>
      <c r="E15" s="205">
        <v>17.600000000000001</v>
      </c>
      <c r="F15" s="205">
        <v>0.28000000000000003</v>
      </c>
      <c r="G15" s="202">
        <f t="shared" si="0"/>
        <v>4312.0000000000009</v>
      </c>
      <c r="H15" s="205">
        <v>0</v>
      </c>
      <c r="I15" s="202">
        <f t="shared" si="1"/>
        <v>0</v>
      </c>
      <c r="J15" s="205">
        <v>875</v>
      </c>
      <c r="K15" s="207" t="s">
        <v>57</v>
      </c>
      <c r="L15" s="204"/>
      <c r="M15" s="204"/>
      <c r="N15" s="204"/>
      <c r="O15" s="204"/>
      <c r="P15" s="204"/>
      <c r="Q15" s="204"/>
      <c r="R15" s="204"/>
      <c r="S15" s="204"/>
      <c r="T15" s="204"/>
      <c r="U15" s="204"/>
      <c r="V15" s="204"/>
      <c r="W15" s="204"/>
      <c r="X15" s="204"/>
      <c r="Y15" s="204"/>
      <c r="Z15" s="204"/>
      <c r="AA15" s="204"/>
      <c r="AB15" s="204"/>
      <c r="AC15" s="204"/>
      <c r="AD15" s="204"/>
      <c r="AE15" s="204"/>
      <c r="AF15" s="204"/>
      <c r="AG15" s="204"/>
      <c r="AH15" s="204"/>
      <c r="AI15" s="204"/>
      <c r="AJ15" s="204"/>
      <c r="AK15" s="204"/>
      <c r="AL15" s="204"/>
      <c r="AM15" s="204"/>
      <c r="AN15" s="204"/>
    </row>
    <row r="16" spans="1:40" ht="192.5" x14ac:dyDescent="0.7">
      <c r="A16" s="206" t="s">
        <v>50</v>
      </c>
      <c r="B16" s="205" t="s">
        <v>62</v>
      </c>
      <c r="C16" s="205" t="s">
        <v>52</v>
      </c>
      <c r="D16" s="205">
        <v>98</v>
      </c>
      <c r="E16" s="205">
        <v>1</v>
      </c>
      <c r="F16" s="205">
        <v>1.5</v>
      </c>
      <c r="G16" s="202">
        <f t="shared" si="0"/>
        <v>91.5</v>
      </c>
      <c r="H16" s="205">
        <v>0</v>
      </c>
      <c r="I16" s="202">
        <f t="shared" si="1"/>
        <v>0</v>
      </c>
      <c r="J16" s="205">
        <v>61</v>
      </c>
      <c r="K16" s="207" t="s">
        <v>57</v>
      </c>
      <c r="L16" s="204"/>
      <c r="M16" s="204"/>
      <c r="N16" s="204"/>
      <c r="O16" s="204"/>
      <c r="P16" s="204"/>
      <c r="Q16" s="204"/>
      <c r="R16" s="204"/>
      <c r="S16" s="204"/>
      <c r="T16" s="204"/>
      <c r="U16" s="204"/>
      <c r="V16" s="204"/>
      <c r="W16" s="204"/>
      <c r="X16" s="204"/>
      <c r="Y16" s="204"/>
      <c r="Z16" s="204"/>
      <c r="AA16" s="204"/>
      <c r="AB16" s="204"/>
      <c r="AC16" s="204"/>
      <c r="AD16" s="204"/>
      <c r="AE16" s="204"/>
      <c r="AF16" s="204"/>
      <c r="AG16" s="204"/>
      <c r="AH16" s="204"/>
      <c r="AI16" s="204"/>
      <c r="AJ16" s="204"/>
      <c r="AK16" s="204"/>
      <c r="AL16" s="204"/>
      <c r="AM16" s="204"/>
      <c r="AN16" s="204"/>
    </row>
    <row r="17" spans="1:40" ht="192.5" x14ac:dyDescent="0.7">
      <c r="A17" s="206" t="s">
        <v>59</v>
      </c>
      <c r="B17" s="205" t="s">
        <v>62</v>
      </c>
      <c r="C17" s="205" t="s">
        <v>61</v>
      </c>
      <c r="D17" s="205">
        <v>20</v>
      </c>
      <c r="E17" s="205">
        <v>0</v>
      </c>
      <c r="F17" s="205">
        <v>0</v>
      </c>
      <c r="G17" s="202">
        <f t="shared" si="0"/>
        <v>0</v>
      </c>
      <c r="H17" s="205">
        <v>0</v>
      </c>
      <c r="I17" s="202">
        <f t="shared" si="1"/>
        <v>0</v>
      </c>
      <c r="J17" s="205">
        <v>0</v>
      </c>
      <c r="K17" s="207" t="s">
        <v>57</v>
      </c>
      <c r="L17" s="204"/>
      <c r="M17" s="204"/>
      <c r="N17" s="204"/>
      <c r="O17" s="204"/>
      <c r="P17" s="204"/>
      <c r="Q17" s="204"/>
      <c r="R17" s="204"/>
      <c r="S17" s="204"/>
      <c r="T17" s="204"/>
      <c r="U17" s="204"/>
      <c r="V17" s="204"/>
      <c r="W17" s="204"/>
      <c r="X17" s="204"/>
      <c r="Y17" s="204"/>
      <c r="Z17" s="204"/>
      <c r="AA17" s="204"/>
      <c r="AB17" s="204"/>
      <c r="AC17" s="204"/>
      <c r="AD17" s="204"/>
      <c r="AE17" s="204"/>
      <c r="AF17" s="204"/>
      <c r="AG17" s="204"/>
      <c r="AH17" s="204"/>
      <c r="AI17" s="204"/>
      <c r="AJ17" s="204"/>
      <c r="AK17" s="204"/>
      <c r="AL17" s="204"/>
      <c r="AM17" s="204"/>
      <c r="AN17" s="204"/>
    </row>
    <row r="18" spans="1:40" ht="192.5" x14ac:dyDescent="0.7">
      <c r="A18" s="206" t="s">
        <v>79</v>
      </c>
      <c r="B18" s="205" t="s">
        <v>62</v>
      </c>
      <c r="C18" s="205" t="s">
        <v>15</v>
      </c>
      <c r="D18" s="205">
        <v>15</v>
      </c>
      <c r="E18" s="205">
        <v>0</v>
      </c>
      <c r="F18" s="205">
        <v>0.28000000000000003</v>
      </c>
      <c r="G18" s="202">
        <f t="shared" si="0"/>
        <v>0</v>
      </c>
      <c r="H18" s="205">
        <v>0</v>
      </c>
      <c r="I18" s="202">
        <f t="shared" si="1"/>
        <v>0</v>
      </c>
      <c r="J18" s="205">
        <v>875</v>
      </c>
      <c r="K18" s="207" t="s">
        <v>57</v>
      </c>
      <c r="L18" s="204"/>
      <c r="M18" s="204"/>
      <c r="N18" s="204"/>
      <c r="O18" s="204"/>
      <c r="P18" s="204"/>
      <c r="Q18" s="204"/>
      <c r="R18" s="204"/>
      <c r="S18" s="204"/>
      <c r="T18" s="204"/>
      <c r="U18" s="204"/>
      <c r="V18" s="204"/>
      <c r="W18" s="204"/>
      <c r="X18" s="204"/>
      <c r="Y18" s="204"/>
      <c r="Z18" s="204"/>
      <c r="AA18" s="204"/>
      <c r="AB18" s="204"/>
      <c r="AC18" s="204"/>
      <c r="AD18" s="204"/>
      <c r="AE18" s="204"/>
      <c r="AF18" s="204"/>
      <c r="AG18" s="204"/>
      <c r="AH18" s="204"/>
      <c r="AI18" s="204"/>
      <c r="AJ18" s="204"/>
      <c r="AK18" s="204"/>
      <c r="AL18" s="204"/>
      <c r="AM18" s="204"/>
      <c r="AN18" s="204"/>
    </row>
    <row r="19" spans="1:40" ht="192.5" x14ac:dyDescent="0.7">
      <c r="A19" s="206" t="s">
        <v>79</v>
      </c>
      <c r="B19" s="205" t="s">
        <v>62</v>
      </c>
      <c r="C19" s="205" t="s">
        <v>15</v>
      </c>
      <c r="D19" s="205">
        <v>15</v>
      </c>
      <c r="E19" s="205">
        <v>0</v>
      </c>
      <c r="F19" s="205">
        <v>0.28000000000000003</v>
      </c>
      <c r="G19" s="202">
        <f t="shared" si="0"/>
        <v>0</v>
      </c>
      <c r="H19" s="205">
        <v>0</v>
      </c>
      <c r="I19" s="202">
        <f t="shared" si="1"/>
        <v>0</v>
      </c>
      <c r="J19" s="205">
        <v>875</v>
      </c>
      <c r="K19" s="207" t="s">
        <v>54</v>
      </c>
      <c r="L19" s="204"/>
      <c r="M19" s="204"/>
      <c r="N19" s="204"/>
      <c r="O19" s="204"/>
      <c r="P19" s="204"/>
      <c r="Q19" s="204"/>
      <c r="R19" s="204"/>
      <c r="S19" s="204"/>
      <c r="T19" s="204"/>
      <c r="U19" s="204"/>
      <c r="V19" s="204"/>
      <c r="W19" s="204"/>
      <c r="X19" s="204"/>
      <c r="Y19" s="204"/>
      <c r="Z19" s="204"/>
      <c r="AA19" s="204"/>
      <c r="AB19" s="204"/>
      <c r="AC19" s="204"/>
      <c r="AD19" s="204"/>
      <c r="AE19" s="204"/>
      <c r="AF19" s="204"/>
      <c r="AG19" s="204"/>
      <c r="AH19" s="204"/>
      <c r="AI19" s="204"/>
      <c r="AJ19" s="204"/>
      <c r="AK19" s="204"/>
      <c r="AL19" s="204"/>
      <c r="AM19" s="204"/>
      <c r="AN19" s="204"/>
    </row>
    <row r="20" spans="1:40" ht="192.5" x14ac:dyDescent="0.7">
      <c r="A20" s="206" t="s">
        <v>89</v>
      </c>
      <c r="B20" s="205" t="s">
        <v>62</v>
      </c>
      <c r="C20" s="205" t="s">
        <v>20</v>
      </c>
      <c r="D20" s="205">
        <v>80</v>
      </c>
      <c r="E20" s="205">
        <v>1</v>
      </c>
      <c r="F20" s="205">
        <v>0.2</v>
      </c>
      <c r="G20" s="202">
        <f t="shared" si="0"/>
        <v>94</v>
      </c>
      <c r="H20" s="205">
        <v>1.6</v>
      </c>
      <c r="I20" s="202">
        <f t="shared" si="1"/>
        <v>752</v>
      </c>
      <c r="J20" s="205">
        <v>470</v>
      </c>
      <c r="K20" s="207" t="s">
        <v>57</v>
      </c>
      <c r="L20" s="204"/>
      <c r="M20" s="204"/>
      <c r="N20" s="204"/>
      <c r="O20" s="204"/>
      <c r="P20" s="204"/>
      <c r="Q20" s="204"/>
      <c r="R20" s="204"/>
      <c r="S20" s="204"/>
      <c r="T20" s="204"/>
      <c r="U20" s="204"/>
      <c r="V20" s="204"/>
      <c r="W20" s="204"/>
      <c r="X20" s="204"/>
      <c r="Y20" s="204"/>
      <c r="Z20" s="204"/>
      <c r="AA20" s="204"/>
      <c r="AB20" s="204"/>
      <c r="AC20" s="204"/>
      <c r="AD20" s="204"/>
      <c r="AE20" s="204"/>
      <c r="AF20" s="204"/>
      <c r="AG20" s="204"/>
      <c r="AH20" s="204"/>
      <c r="AI20" s="204"/>
      <c r="AJ20" s="204"/>
      <c r="AK20" s="204"/>
      <c r="AL20" s="204"/>
      <c r="AM20" s="204"/>
      <c r="AN20" s="204"/>
    </row>
    <row r="21" spans="1:40" ht="55" x14ac:dyDescent="0.7">
      <c r="A21" s="206" t="s">
        <v>95</v>
      </c>
      <c r="B21" s="205" t="s">
        <v>80</v>
      </c>
      <c r="C21" s="205" t="s">
        <v>30</v>
      </c>
      <c r="D21" s="205">
        <v>120</v>
      </c>
      <c r="E21" s="205">
        <v>13.4</v>
      </c>
      <c r="F21" s="205">
        <v>0.14000000000000001</v>
      </c>
      <c r="G21" s="202">
        <f t="shared" si="0"/>
        <v>4502.4000000000005</v>
      </c>
      <c r="H21" s="205">
        <v>0</v>
      </c>
      <c r="I21" s="202">
        <f t="shared" si="1"/>
        <v>0</v>
      </c>
      <c r="J21" s="205">
        <v>2400</v>
      </c>
      <c r="K21" s="207" t="s">
        <v>54</v>
      </c>
      <c r="L21" s="204"/>
      <c r="M21" s="204"/>
      <c r="N21" s="204"/>
      <c r="O21" s="204"/>
      <c r="P21" s="204"/>
      <c r="Q21" s="204"/>
      <c r="R21" s="204"/>
      <c r="S21" s="204"/>
      <c r="T21" s="204"/>
      <c r="U21" s="204"/>
      <c r="V21" s="204"/>
      <c r="W21" s="204"/>
      <c r="X21" s="204"/>
      <c r="Y21" s="204"/>
      <c r="Z21" s="204"/>
      <c r="AA21" s="204"/>
      <c r="AB21" s="204"/>
      <c r="AC21" s="204"/>
      <c r="AD21" s="204"/>
      <c r="AE21" s="204"/>
      <c r="AF21" s="204"/>
      <c r="AG21" s="204"/>
      <c r="AH21" s="204"/>
      <c r="AI21" s="204"/>
      <c r="AJ21" s="204"/>
      <c r="AK21" s="204"/>
      <c r="AL21" s="204"/>
      <c r="AM21" s="204"/>
      <c r="AN21" s="204"/>
    </row>
    <row r="22" spans="1:40" ht="247.5" x14ac:dyDescent="0.7">
      <c r="A22" s="206" t="s">
        <v>75</v>
      </c>
      <c r="B22" s="205" t="s">
        <v>142</v>
      </c>
      <c r="C22" s="205" t="s">
        <v>76</v>
      </c>
      <c r="D22" s="205">
        <v>98</v>
      </c>
      <c r="E22" s="205">
        <v>21.9</v>
      </c>
      <c r="F22" s="205">
        <v>1.5</v>
      </c>
      <c r="G22" s="202">
        <f t="shared" si="0"/>
        <v>1084.05</v>
      </c>
      <c r="H22" s="205">
        <v>0</v>
      </c>
      <c r="I22" s="202">
        <f t="shared" si="1"/>
        <v>0</v>
      </c>
      <c r="J22" s="205">
        <v>33</v>
      </c>
      <c r="K22" s="207" t="s">
        <v>57</v>
      </c>
      <c r="L22" s="204"/>
      <c r="M22" s="204"/>
      <c r="N22" s="204"/>
      <c r="O22" s="204"/>
      <c r="P22" s="204"/>
      <c r="Q22" s="204"/>
      <c r="R22" s="204"/>
      <c r="S22" s="204"/>
      <c r="T22" s="204"/>
      <c r="U22" s="204"/>
      <c r="V22" s="204"/>
      <c r="W22" s="204"/>
      <c r="X22" s="204"/>
      <c r="Y22" s="204"/>
      <c r="Z22" s="204"/>
      <c r="AA22" s="204"/>
      <c r="AB22" s="204"/>
      <c r="AC22" s="204"/>
      <c r="AD22" s="204"/>
      <c r="AE22" s="204"/>
      <c r="AF22" s="204"/>
      <c r="AG22" s="204"/>
      <c r="AH22" s="204"/>
      <c r="AI22" s="204"/>
      <c r="AJ22" s="204"/>
      <c r="AK22" s="204"/>
      <c r="AL22" s="204"/>
      <c r="AM22" s="204"/>
      <c r="AN22" s="204"/>
    </row>
    <row r="23" spans="1:40" ht="247.5" x14ac:dyDescent="0.7">
      <c r="A23" s="206" t="s">
        <v>79</v>
      </c>
      <c r="B23" s="205" t="s">
        <v>142</v>
      </c>
      <c r="C23" s="205" t="s">
        <v>15</v>
      </c>
      <c r="D23" s="205">
        <v>12</v>
      </c>
      <c r="E23" s="205">
        <v>3</v>
      </c>
      <c r="F23" s="205">
        <v>0.28000000000000003</v>
      </c>
      <c r="G23" s="202">
        <f t="shared" si="0"/>
        <v>735.00000000000011</v>
      </c>
      <c r="H23" s="205">
        <v>0</v>
      </c>
      <c r="I23" s="202">
        <f t="shared" si="1"/>
        <v>0</v>
      </c>
      <c r="J23" s="205">
        <v>875</v>
      </c>
      <c r="K23" s="207" t="s">
        <v>54</v>
      </c>
      <c r="L23" s="204"/>
      <c r="M23" s="204"/>
      <c r="N23" s="204"/>
      <c r="O23" s="204"/>
      <c r="P23" s="204" t="s">
        <v>365</v>
      </c>
      <c r="Q23" s="204"/>
      <c r="R23" s="204"/>
      <c r="S23" s="204"/>
      <c r="T23" s="204"/>
      <c r="U23" s="204"/>
      <c r="V23" s="204"/>
      <c r="W23" s="204"/>
      <c r="X23" s="204"/>
      <c r="Y23" s="204"/>
      <c r="Z23" s="204"/>
      <c r="AA23" s="204"/>
      <c r="AB23" s="204"/>
      <c r="AC23" s="204"/>
      <c r="AD23" s="204"/>
      <c r="AE23" s="204"/>
      <c r="AF23" s="204"/>
      <c r="AG23" s="204"/>
      <c r="AH23" s="204"/>
      <c r="AI23" s="204"/>
      <c r="AJ23" s="204"/>
      <c r="AK23" s="204"/>
      <c r="AL23" s="204"/>
      <c r="AM23" s="204"/>
      <c r="AN23" s="204"/>
    </row>
    <row r="24" spans="1:40" ht="247.5" x14ac:dyDescent="0.7">
      <c r="A24" s="206" t="s">
        <v>79</v>
      </c>
      <c r="B24" s="205" t="s">
        <v>142</v>
      </c>
      <c r="C24" s="205" t="s">
        <v>15</v>
      </c>
      <c r="D24" s="205">
        <v>12</v>
      </c>
      <c r="E24" s="205">
        <v>3.5</v>
      </c>
      <c r="F24" s="205">
        <v>0.28000000000000003</v>
      </c>
      <c r="G24" s="202">
        <f t="shared" si="0"/>
        <v>857.50000000000011</v>
      </c>
      <c r="H24" s="205">
        <v>0</v>
      </c>
      <c r="I24" s="202">
        <f t="shared" si="1"/>
        <v>0</v>
      </c>
      <c r="J24" s="205">
        <v>875</v>
      </c>
      <c r="K24" s="207" t="s">
        <v>57</v>
      </c>
      <c r="L24" s="204"/>
      <c r="M24" s="204"/>
      <c r="N24" s="204"/>
      <c r="O24" s="204"/>
      <c r="P24" s="204" t="s">
        <v>366</v>
      </c>
      <c r="Q24" s="204"/>
      <c r="R24" s="204"/>
      <c r="S24" s="204"/>
      <c r="T24" s="204"/>
      <c r="U24" s="204"/>
      <c r="V24" s="204"/>
      <c r="W24" s="204"/>
      <c r="X24" s="204"/>
      <c r="Y24" s="204"/>
      <c r="Z24" s="204"/>
      <c r="AA24" s="204"/>
      <c r="AB24" s="204"/>
      <c r="AC24" s="204"/>
      <c r="AD24" s="204"/>
      <c r="AE24" s="204"/>
      <c r="AF24" s="204"/>
      <c r="AG24" s="204"/>
      <c r="AH24" s="204"/>
      <c r="AI24" s="204"/>
      <c r="AJ24" s="204"/>
      <c r="AK24" s="204"/>
      <c r="AL24" s="204"/>
      <c r="AM24" s="204"/>
      <c r="AN24" s="204"/>
    </row>
    <row r="25" spans="1:40" ht="247.5" x14ac:dyDescent="0.7">
      <c r="A25" s="206" t="s">
        <v>79</v>
      </c>
      <c r="B25" s="205" t="s">
        <v>142</v>
      </c>
      <c r="C25" s="205" t="s">
        <v>15</v>
      </c>
      <c r="D25" s="205">
        <v>13</v>
      </c>
      <c r="E25" s="205">
        <v>3.5</v>
      </c>
      <c r="F25" s="205">
        <v>0.28000000000000003</v>
      </c>
      <c r="G25" s="202">
        <f t="shared" si="0"/>
        <v>857.50000000000011</v>
      </c>
      <c r="H25" s="205">
        <v>0</v>
      </c>
      <c r="I25" s="202">
        <f t="shared" si="1"/>
        <v>0</v>
      </c>
      <c r="J25" s="205">
        <v>875</v>
      </c>
      <c r="K25" s="207" t="s">
        <v>54</v>
      </c>
      <c r="L25" s="204"/>
      <c r="M25" s="204"/>
      <c r="N25" s="204"/>
      <c r="O25" s="204"/>
      <c r="P25" s="204"/>
      <c r="Q25" s="204"/>
      <c r="R25" s="204"/>
      <c r="S25" s="204"/>
      <c r="T25" s="204"/>
      <c r="U25" s="204"/>
      <c r="V25" s="204"/>
      <c r="W25" s="204"/>
      <c r="X25" s="204"/>
      <c r="Y25" s="204"/>
      <c r="Z25" s="204"/>
      <c r="AA25" s="204"/>
      <c r="AB25" s="204"/>
      <c r="AC25" s="204"/>
      <c r="AD25" s="204"/>
      <c r="AE25" s="204"/>
      <c r="AF25" s="204"/>
      <c r="AG25" s="204"/>
      <c r="AH25" s="204"/>
      <c r="AI25" s="204"/>
      <c r="AJ25" s="204"/>
      <c r="AK25" s="204"/>
      <c r="AL25" s="204"/>
      <c r="AM25" s="204"/>
      <c r="AN25" s="204"/>
    </row>
    <row r="26" spans="1:40" ht="220" x14ac:dyDescent="0.7">
      <c r="A26" s="206" t="s">
        <v>50</v>
      </c>
      <c r="B26" s="205" t="s">
        <v>93</v>
      </c>
      <c r="C26" s="205" t="s">
        <v>52</v>
      </c>
      <c r="D26" s="205">
        <v>66</v>
      </c>
      <c r="E26" s="205">
        <v>16.5</v>
      </c>
      <c r="F26" s="205">
        <v>1.5</v>
      </c>
      <c r="G26" s="202">
        <f t="shared" si="0"/>
        <v>1509.75</v>
      </c>
      <c r="H26" s="205">
        <v>0</v>
      </c>
      <c r="I26" s="202">
        <f t="shared" si="1"/>
        <v>0</v>
      </c>
      <c r="J26" s="205">
        <v>61</v>
      </c>
      <c r="K26" s="207" t="s">
        <v>54</v>
      </c>
      <c r="L26" s="204"/>
      <c r="M26" s="204"/>
      <c r="N26" s="204"/>
      <c r="O26" s="204"/>
      <c r="P26" s="204"/>
      <c r="Q26" s="204"/>
      <c r="R26" s="204"/>
      <c r="S26" s="204"/>
      <c r="T26" s="204"/>
      <c r="U26" s="204"/>
      <c r="V26" s="204"/>
      <c r="W26" s="204"/>
      <c r="X26" s="204"/>
      <c r="Y26" s="204"/>
      <c r="Z26" s="204"/>
      <c r="AA26" s="204"/>
      <c r="AB26" s="204"/>
      <c r="AC26" s="204"/>
      <c r="AD26" s="204"/>
      <c r="AE26" s="204"/>
      <c r="AF26" s="204"/>
      <c r="AG26" s="204"/>
      <c r="AH26" s="204"/>
      <c r="AI26" s="204"/>
      <c r="AJ26" s="204"/>
      <c r="AK26" s="204"/>
      <c r="AL26" s="204"/>
      <c r="AM26" s="204"/>
      <c r="AN26" s="204"/>
    </row>
    <row r="27" spans="1:40" ht="220" x14ac:dyDescent="0.7">
      <c r="A27" s="206" t="s">
        <v>79</v>
      </c>
      <c r="B27" s="205" t="s">
        <v>93</v>
      </c>
      <c r="C27" s="205" t="s">
        <v>15</v>
      </c>
      <c r="D27" s="205">
        <v>15</v>
      </c>
      <c r="E27" s="205">
        <v>7</v>
      </c>
      <c r="F27" s="205">
        <v>0.28000000000000003</v>
      </c>
      <c r="G27" s="202">
        <f t="shared" si="0"/>
        <v>1715.0000000000002</v>
      </c>
      <c r="H27" s="205">
        <v>0</v>
      </c>
      <c r="I27" s="202">
        <f t="shared" si="1"/>
        <v>0</v>
      </c>
      <c r="J27" s="205">
        <v>875</v>
      </c>
      <c r="K27" s="207" t="s">
        <v>57</v>
      </c>
      <c r="L27" s="204"/>
      <c r="M27" s="204"/>
      <c r="N27" s="204"/>
      <c r="O27" s="204"/>
      <c r="P27" s="204"/>
      <c r="Q27" s="204"/>
      <c r="R27" s="204"/>
      <c r="S27" s="204"/>
      <c r="T27" s="204"/>
      <c r="U27" s="204"/>
      <c r="V27" s="204"/>
      <c r="W27" s="204"/>
      <c r="X27" s="204"/>
      <c r="Y27" s="204"/>
      <c r="Z27" s="204"/>
      <c r="AA27" s="204"/>
      <c r="AB27" s="204"/>
      <c r="AC27" s="204"/>
      <c r="AD27" s="204"/>
      <c r="AE27" s="204"/>
      <c r="AF27" s="204"/>
      <c r="AG27" s="204"/>
      <c r="AH27" s="204"/>
      <c r="AI27" s="204"/>
      <c r="AJ27" s="204"/>
      <c r="AK27" s="204"/>
      <c r="AL27" s="204"/>
      <c r="AM27" s="204"/>
      <c r="AN27" s="204"/>
    </row>
    <row r="28" spans="1:40" ht="192.5" x14ac:dyDescent="0.7">
      <c r="A28" s="206" t="s">
        <v>50</v>
      </c>
      <c r="B28" s="205" t="s">
        <v>141</v>
      </c>
      <c r="C28" s="205" t="s">
        <v>52</v>
      </c>
      <c r="D28" s="205">
        <v>98</v>
      </c>
      <c r="E28" s="205">
        <v>20.5</v>
      </c>
      <c r="F28" s="205">
        <v>1.5</v>
      </c>
      <c r="G28" s="202">
        <f t="shared" si="0"/>
        <v>1875.75</v>
      </c>
      <c r="H28" s="205">
        <v>0</v>
      </c>
      <c r="I28" s="202">
        <f t="shared" si="1"/>
        <v>0</v>
      </c>
      <c r="J28" s="205">
        <v>61</v>
      </c>
      <c r="K28" s="207" t="s">
        <v>54</v>
      </c>
      <c r="L28" s="204"/>
      <c r="M28" s="204"/>
      <c r="N28" s="204"/>
      <c r="O28" s="204"/>
      <c r="P28" s="204"/>
      <c r="Q28" s="204"/>
      <c r="R28" s="204"/>
      <c r="S28" s="204"/>
      <c r="T28" s="204"/>
      <c r="U28" s="204"/>
      <c r="V28" s="204"/>
      <c r="W28" s="204"/>
      <c r="X28" s="204"/>
      <c r="Y28" s="204"/>
      <c r="Z28" s="204"/>
      <c r="AA28" s="204"/>
      <c r="AB28" s="204"/>
      <c r="AC28" s="204"/>
      <c r="AD28" s="204"/>
      <c r="AE28" s="204"/>
      <c r="AF28" s="204"/>
      <c r="AG28" s="204"/>
      <c r="AH28" s="204"/>
      <c r="AI28" s="204"/>
      <c r="AJ28" s="204"/>
      <c r="AK28" s="204"/>
      <c r="AL28" s="204"/>
      <c r="AM28" s="204"/>
      <c r="AN28" s="204"/>
    </row>
    <row r="29" spans="1:40" ht="192.5" x14ac:dyDescent="0.7">
      <c r="A29" s="206" t="s">
        <v>75</v>
      </c>
      <c r="B29" s="205" t="s">
        <v>141</v>
      </c>
      <c r="C29" s="205" t="s">
        <v>76</v>
      </c>
      <c r="D29" s="205">
        <v>98</v>
      </c>
      <c r="E29" s="205">
        <v>21.1</v>
      </c>
      <c r="F29" s="205">
        <v>1.5</v>
      </c>
      <c r="G29" s="202">
        <f t="shared" si="0"/>
        <v>1044.45</v>
      </c>
      <c r="H29" s="205">
        <v>0</v>
      </c>
      <c r="I29" s="202">
        <f t="shared" si="1"/>
        <v>0</v>
      </c>
      <c r="J29" s="205">
        <v>33</v>
      </c>
      <c r="K29" s="207" t="s">
        <v>54</v>
      </c>
      <c r="L29" s="204"/>
      <c r="M29" s="204"/>
      <c r="N29" s="204"/>
      <c r="O29" s="204"/>
      <c r="P29" s="204"/>
      <c r="Q29" s="204"/>
      <c r="R29" s="204"/>
      <c r="S29" s="204"/>
      <c r="T29" s="204"/>
      <c r="U29" s="204"/>
      <c r="V29" s="204"/>
      <c r="W29" s="204"/>
      <c r="X29" s="204"/>
      <c r="Y29" s="204"/>
      <c r="Z29" s="204"/>
      <c r="AA29" s="204"/>
      <c r="AB29" s="204"/>
      <c r="AC29" s="204"/>
      <c r="AD29" s="204"/>
      <c r="AE29" s="204"/>
      <c r="AF29" s="204"/>
      <c r="AG29" s="204"/>
      <c r="AH29" s="204"/>
      <c r="AI29" s="204"/>
      <c r="AJ29" s="204"/>
      <c r="AK29" s="204"/>
      <c r="AL29" s="204"/>
      <c r="AM29" s="204"/>
      <c r="AN29" s="204"/>
    </row>
    <row r="30" spans="1:40" ht="192.5" x14ac:dyDescent="0.7">
      <c r="A30" s="206" t="s">
        <v>59</v>
      </c>
      <c r="B30" s="205" t="s">
        <v>141</v>
      </c>
      <c r="C30" s="205" t="s">
        <v>61</v>
      </c>
      <c r="D30" s="205">
        <v>20</v>
      </c>
      <c r="E30" s="205">
        <v>4.7</v>
      </c>
      <c r="F30" s="205">
        <v>0</v>
      </c>
      <c r="G30" s="202">
        <f t="shared" si="0"/>
        <v>0</v>
      </c>
      <c r="H30" s="205">
        <v>0</v>
      </c>
      <c r="I30" s="202">
        <f t="shared" si="1"/>
        <v>0</v>
      </c>
      <c r="J30" s="205">
        <v>0</v>
      </c>
      <c r="K30" s="207" t="s">
        <v>54</v>
      </c>
      <c r="L30" s="204"/>
      <c r="M30" s="204"/>
      <c r="N30" s="204"/>
      <c r="O30" s="204"/>
      <c r="P30" s="204"/>
      <c r="Q30" s="204"/>
      <c r="R30" s="204"/>
      <c r="S30" s="204"/>
      <c r="T30" s="204"/>
      <c r="U30" s="204"/>
      <c r="V30" s="204"/>
      <c r="W30" s="204"/>
      <c r="X30" s="204"/>
      <c r="Y30" s="204"/>
      <c r="Z30" s="204"/>
      <c r="AA30" s="204"/>
      <c r="AB30" s="204"/>
      <c r="AC30" s="204"/>
      <c r="AD30" s="204"/>
      <c r="AE30" s="204"/>
      <c r="AF30" s="204"/>
      <c r="AG30" s="204"/>
      <c r="AH30" s="204"/>
      <c r="AI30" s="204"/>
      <c r="AJ30" s="204"/>
      <c r="AK30" s="204"/>
      <c r="AL30" s="204"/>
      <c r="AM30" s="204"/>
      <c r="AN30" s="204"/>
    </row>
    <row r="31" spans="1:40" ht="192.5" x14ac:dyDescent="0.7">
      <c r="A31" s="206" t="s">
        <v>79</v>
      </c>
      <c r="B31" s="205" t="s">
        <v>141</v>
      </c>
      <c r="C31" s="205" t="s">
        <v>15</v>
      </c>
      <c r="D31" s="205">
        <v>12</v>
      </c>
      <c r="E31" s="205">
        <v>5.2</v>
      </c>
      <c r="F31" s="205">
        <v>0.28000000000000003</v>
      </c>
      <c r="G31" s="202">
        <f t="shared" si="0"/>
        <v>1274.0000000000002</v>
      </c>
      <c r="H31" s="205">
        <v>0</v>
      </c>
      <c r="I31" s="202">
        <f t="shared" si="1"/>
        <v>0</v>
      </c>
      <c r="J31" s="205">
        <v>875</v>
      </c>
      <c r="K31" s="207" t="s">
        <v>57</v>
      </c>
      <c r="L31" s="204"/>
      <c r="M31" s="204"/>
      <c r="N31" s="204"/>
      <c r="O31" s="204"/>
      <c r="P31" s="204"/>
      <c r="Q31" s="204"/>
      <c r="R31" s="204"/>
      <c r="S31" s="204"/>
      <c r="T31" s="204"/>
      <c r="U31" s="204"/>
      <c r="V31" s="204"/>
      <c r="W31" s="204"/>
      <c r="X31" s="204"/>
      <c r="Y31" s="204"/>
      <c r="Z31" s="204"/>
      <c r="AA31" s="204"/>
      <c r="AB31" s="204"/>
      <c r="AC31" s="204"/>
      <c r="AD31" s="204"/>
      <c r="AE31" s="204"/>
      <c r="AF31" s="204"/>
      <c r="AG31" s="204"/>
      <c r="AH31" s="204"/>
      <c r="AI31" s="204"/>
      <c r="AJ31" s="204"/>
      <c r="AK31" s="204"/>
      <c r="AL31" s="204"/>
      <c r="AM31" s="204"/>
      <c r="AN31" s="204"/>
    </row>
    <row r="32" spans="1:40" ht="192.5" x14ac:dyDescent="0.7">
      <c r="A32" s="206" t="s">
        <v>79</v>
      </c>
      <c r="B32" s="205" t="s">
        <v>141</v>
      </c>
      <c r="C32" s="205" t="s">
        <v>15</v>
      </c>
      <c r="D32" s="205">
        <v>13</v>
      </c>
      <c r="E32" s="205">
        <v>6</v>
      </c>
      <c r="F32" s="205">
        <v>0.28000000000000003</v>
      </c>
      <c r="G32" s="202">
        <f t="shared" si="0"/>
        <v>1470.0000000000002</v>
      </c>
      <c r="H32" s="205">
        <v>0</v>
      </c>
      <c r="I32" s="202">
        <f t="shared" si="1"/>
        <v>0</v>
      </c>
      <c r="J32" s="205">
        <v>875</v>
      </c>
      <c r="K32" s="207" t="s">
        <v>57</v>
      </c>
      <c r="L32" s="204"/>
      <c r="M32" s="204"/>
      <c r="N32" s="204"/>
      <c r="O32" s="204"/>
      <c r="P32" s="204"/>
      <c r="Q32" s="204"/>
      <c r="R32" s="204"/>
      <c r="S32" s="204"/>
      <c r="T32" s="204"/>
      <c r="U32" s="204"/>
      <c r="V32" s="204"/>
      <c r="W32" s="204"/>
      <c r="X32" s="204"/>
      <c r="Y32" s="204"/>
      <c r="Z32" s="204"/>
      <c r="AA32" s="204"/>
      <c r="AB32" s="204"/>
      <c r="AC32" s="204"/>
      <c r="AD32" s="204"/>
      <c r="AE32" s="204"/>
      <c r="AF32" s="204"/>
      <c r="AG32" s="204"/>
      <c r="AH32" s="204"/>
      <c r="AI32" s="204"/>
      <c r="AJ32" s="204"/>
      <c r="AK32" s="204"/>
      <c r="AL32" s="204"/>
      <c r="AM32" s="204"/>
      <c r="AN32" s="204"/>
    </row>
    <row r="33" spans="1:11" ht="165" x14ac:dyDescent="0.55000000000000004">
      <c r="A33" s="206" t="s">
        <v>50</v>
      </c>
      <c r="B33" s="205" t="s">
        <v>63</v>
      </c>
      <c r="C33" s="205" t="s">
        <v>52</v>
      </c>
      <c r="D33" s="205">
        <v>68</v>
      </c>
      <c r="E33" s="205">
        <v>1.5</v>
      </c>
      <c r="F33" s="205">
        <v>1.5</v>
      </c>
      <c r="G33" s="202">
        <f t="shared" si="0"/>
        <v>137.25</v>
      </c>
      <c r="H33" s="205">
        <v>0</v>
      </c>
      <c r="I33" s="202">
        <f t="shared" si="1"/>
        <v>0</v>
      </c>
      <c r="J33" s="205">
        <v>61</v>
      </c>
      <c r="K33" s="207" t="s">
        <v>54</v>
      </c>
    </row>
    <row r="34" spans="1:11" ht="165" x14ac:dyDescent="0.55000000000000004">
      <c r="A34" s="206" t="s">
        <v>75</v>
      </c>
      <c r="B34" s="205" t="s">
        <v>63</v>
      </c>
      <c r="C34" s="205" t="s">
        <v>76</v>
      </c>
      <c r="D34" s="205">
        <v>98</v>
      </c>
      <c r="E34" s="205">
        <v>1.7</v>
      </c>
      <c r="F34" s="205">
        <v>1.5</v>
      </c>
      <c r="G34" s="202">
        <f t="shared" si="0"/>
        <v>84.15</v>
      </c>
      <c r="H34" s="205">
        <v>0</v>
      </c>
      <c r="I34" s="202">
        <f t="shared" si="1"/>
        <v>0</v>
      </c>
      <c r="J34" s="205">
        <v>33</v>
      </c>
      <c r="K34" s="207" t="s">
        <v>54</v>
      </c>
    </row>
    <row r="35" spans="1:11" ht="165" x14ac:dyDescent="0.55000000000000004">
      <c r="A35" s="206" t="s">
        <v>59</v>
      </c>
      <c r="B35" s="205" t="s">
        <v>63</v>
      </c>
      <c r="C35" s="205" t="s">
        <v>61</v>
      </c>
      <c r="D35" s="205">
        <v>20</v>
      </c>
      <c r="E35" s="205">
        <v>0.5</v>
      </c>
      <c r="F35" s="205">
        <v>0</v>
      </c>
      <c r="G35" s="202">
        <f t="shared" si="0"/>
        <v>0</v>
      </c>
      <c r="H35" s="205">
        <v>0</v>
      </c>
      <c r="I35" s="202">
        <f t="shared" si="1"/>
        <v>0</v>
      </c>
      <c r="J35" s="205">
        <v>0</v>
      </c>
      <c r="K35" s="207" t="s">
        <v>54</v>
      </c>
    </row>
    <row r="36" spans="1:11" ht="165" x14ac:dyDescent="0.55000000000000004">
      <c r="A36" s="206" t="s">
        <v>79</v>
      </c>
      <c r="B36" s="205" t="s">
        <v>63</v>
      </c>
      <c r="C36" s="205" t="s">
        <v>15</v>
      </c>
      <c r="D36" s="205">
        <v>12</v>
      </c>
      <c r="E36" s="205">
        <v>0</v>
      </c>
      <c r="F36" s="205">
        <v>0.28000000000000003</v>
      </c>
      <c r="G36" s="202">
        <f t="shared" si="0"/>
        <v>0</v>
      </c>
      <c r="H36" s="205">
        <v>0</v>
      </c>
      <c r="I36" s="202">
        <f t="shared" si="1"/>
        <v>0</v>
      </c>
      <c r="J36" s="205">
        <v>875</v>
      </c>
      <c r="K36" s="207" t="s">
        <v>57</v>
      </c>
    </row>
    <row r="37" spans="1:11" ht="165" x14ac:dyDescent="0.55000000000000004">
      <c r="A37" s="206" t="s">
        <v>79</v>
      </c>
      <c r="B37" s="205" t="s">
        <v>63</v>
      </c>
      <c r="C37" s="205" t="s">
        <v>15</v>
      </c>
      <c r="D37" s="205">
        <v>13</v>
      </c>
      <c r="E37" s="205">
        <v>0</v>
      </c>
      <c r="F37" s="205">
        <v>0.28000000000000003</v>
      </c>
      <c r="G37" s="202">
        <f t="shared" si="0"/>
        <v>0</v>
      </c>
      <c r="H37" s="205">
        <v>0</v>
      </c>
      <c r="I37" s="202">
        <f t="shared" si="1"/>
        <v>0</v>
      </c>
      <c r="J37" s="205">
        <v>875</v>
      </c>
      <c r="K37" s="207" t="s">
        <v>57</v>
      </c>
    </row>
    <row r="38" spans="1:11" ht="110" x14ac:dyDescent="0.55000000000000004">
      <c r="A38" s="206" t="s">
        <v>75</v>
      </c>
      <c r="B38" s="205" t="s">
        <v>139</v>
      </c>
      <c r="C38" s="205" t="s">
        <v>76</v>
      </c>
      <c r="D38" s="205">
        <v>98</v>
      </c>
      <c r="E38" s="205">
        <v>167</v>
      </c>
      <c r="F38" s="205">
        <v>1.5</v>
      </c>
      <c r="G38" s="202">
        <f t="shared" si="0"/>
        <v>8266.5</v>
      </c>
      <c r="H38" s="205">
        <v>0</v>
      </c>
      <c r="I38" s="202">
        <f t="shared" si="1"/>
        <v>0</v>
      </c>
      <c r="J38" s="205">
        <v>33</v>
      </c>
      <c r="K38" s="207" t="s">
        <v>54</v>
      </c>
    </row>
    <row r="39" spans="1:11" ht="110" x14ac:dyDescent="0.55000000000000004">
      <c r="A39" s="206" t="s">
        <v>64</v>
      </c>
      <c r="B39" s="205" t="s">
        <v>139</v>
      </c>
      <c r="C39" s="205" t="s">
        <v>66</v>
      </c>
      <c r="D39" s="205">
        <v>30</v>
      </c>
      <c r="E39" s="205">
        <v>26.8</v>
      </c>
      <c r="F39" s="205">
        <v>0</v>
      </c>
      <c r="G39" s="202">
        <f t="shared" si="0"/>
        <v>0</v>
      </c>
      <c r="H39" s="205">
        <v>0</v>
      </c>
      <c r="I39" s="202">
        <f t="shared" si="1"/>
        <v>0</v>
      </c>
      <c r="J39" s="205">
        <v>0</v>
      </c>
      <c r="K39" s="207" t="s">
        <v>54</v>
      </c>
    </row>
    <row r="40" spans="1:11" ht="110" x14ac:dyDescent="0.55000000000000004">
      <c r="A40" s="206" t="s">
        <v>79</v>
      </c>
      <c r="B40" s="205" t="s">
        <v>139</v>
      </c>
      <c r="C40" s="205" t="s">
        <v>15</v>
      </c>
      <c r="D40" s="205">
        <v>12</v>
      </c>
      <c r="E40" s="205">
        <v>19.8</v>
      </c>
      <c r="F40" s="205">
        <v>0.28000000000000003</v>
      </c>
      <c r="G40" s="202">
        <f t="shared" ref="G40:G71" si="2">(E40*J40)*F40</f>
        <v>4851.0000000000009</v>
      </c>
      <c r="H40" s="205">
        <v>0</v>
      </c>
      <c r="I40" s="202">
        <f t="shared" ref="I40:I71" si="3">(E40*J40)*H40</f>
        <v>0</v>
      </c>
      <c r="J40" s="205">
        <v>875</v>
      </c>
      <c r="K40" s="207" t="s">
        <v>57</v>
      </c>
    </row>
    <row r="41" spans="1:11" ht="110" x14ac:dyDescent="0.55000000000000004">
      <c r="A41" s="206" t="s">
        <v>79</v>
      </c>
      <c r="B41" s="205" t="s">
        <v>139</v>
      </c>
      <c r="C41" s="205" t="s">
        <v>15</v>
      </c>
      <c r="D41" s="205">
        <v>13</v>
      </c>
      <c r="E41" s="205">
        <v>23.6</v>
      </c>
      <c r="F41" s="205">
        <v>0.28000000000000003</v>
      </c>
      <c r="G41" s="202">
        <f t="shared" si="2"/>
        <v>5782.0000000000009</v>
      </c>
      <c r="H41" s="205">
        <v>0</v>
      </c>
      <c r="I41" s="202">
        <f t="shared" si="3"/>
        <v>0</v>
      </c>
      <c r="J41" s="205">
        <v>875</v>
      </c>
      <c r="K41" s="207" t="s">
        <v>57</v>
      </c>
    </row>
    <row r="42" spans="1:11" ht="55" x14ac:dyDescent="0.55000000000000004">
      <c r="A42" s="206" t="s">
        <v>95</v>
      </c>
      <c r="B42" s="205" t="s">
        <v>96</v>
      </c>
      <c r="C42" s="205" t="s">
        <v>30</v>
      </c>
      <c r="D42" s="205">
        <v>300</v>
      </c>
      <c r="E42" s="205">
        <v>3.8</v>
      </c>
      <c r="F42" s="205">
        <v>0.14000000000000001</v>
      </c>
      <c r="G42" s="202">
        <f t="shared" si="2"/>
        <v>1276.8000000000002</v>
      </c>
      <c r="H42" s="205">
        <v>0</v>
      </c>
      <c r="I42" s="202">
        <f t="shared" si="3"/>
        <v>0</v>
      </c>
      <c r="J42" s="205">
        <v>2400</v>
      </c>
      <c r="K42" s="207" t="s">
        <v>54</v>
      </c>
    </row>
    <row r="43" spans="1:11" ht="55" x14ac:dyDescent="0.55000000000000004">
      <c r="A43" s="206" t="s">
        <v>95</v>
      </c>
      <c r="B43" s="205" t="s">
        <v>104</v>
      </c>
      <c r="C43" s="205" t="s">
        <v>30</v>
      </c>
      <c r="D43" s="205">
        <v>200</v>
      </c>
      <c r="E43" s="205">
        <v>16.3</v>
      </c>
      <c r="F43" s="205">
        <v>0.14000000000000001</v>
      </c>
      <c r="G43" s="202">
        <f t="shared" si="2"/>
        <v>5476.8</v>
      </c>
      <c r="H43" s="205">
        <v>0</v>
      </c>
      <c r="I43" s="202">
        <f t="shared" si="3"/>
        <v>0</v>
      </c>
      <c r="J43" s="205">
        <v>2400</v>
      </c>
      <c r="K43" s="207" t="s">
        <v>54</v>
      </c>
    </row>
    <row r="44" spans="1:11" ht="82.5" x14ac:dyDescent="0.55000000000000004">
      <c r="A44" s="206" t="s">
        <v>101</v>
      </c>
      <c r="B44" s="205" t="s">
        <v>68</v>
      </c>
      <c r="C44" s="205" t="s">
        <v>4</v>
      </c>
      <c r="D44" s="205">
        <v>40</v>
      </c>
      <c r="E44" s="205">
        <v>77.5</v>
      </c>
      <c r="F44" s="205">
        <v>0.12</v>
      </c>
      <c r="G44" s="202">
        <f t="shared" si="2"/>
        <v>21622.5</v>
      </c>
      <c r="H44" s="205">
        <v>0</v>
      </c>
      <c r="I44" s="202">
        <f t="shared" si="3"/>
        <v>0</v>
      </c>
      <c r="J44" s="205">
        <v>2325</v>
      </c>
      <c r="K44" s="207" t="s">
        <v>57</v>
      </c>
    </row>
    <row r="45" spans="1:11" ht="82.5" x14ac:dyDescent="0.55000000000000004">
      <c r="A45" s="206" t="s">
        <v>50</v>
      </c>
      <c r="B45" s="205" t="s">
        <v>68</v>
      </c>
      <c r="C45" s="205" t="s">
        <v>52</v>
      </c>
      <c r="D45" s="205">
        <v>30</v>
      </c>
      <c r="E45" s="205">
        <v>58.5</v>
      </c>
      <c r="F45" s="205">
        <v>1.5</v>
      </c>
      <c r="G45" s="202">
        <f t="shared" si="2"/>
        <v>5352.75</v>
      </c>
      <c r="H45" s="205">
        <v>0</v>
      </c>
      <c r="I45" s="202">
        <f t="shared" si="3"/>
        <v>0</v>
      </c>
      <c r="J45" s="205">
        <v>61</v>
      </c>
      <c r="K45" s="207" t="s">
        <v>57</v>
      </c>
    </row>
    <row r="46" spans="1:11" ht="82.5" x14ac:dyDescent="0.55000000000000004">
      <c r="A46" s="206" t="s">
        <v>50</v>
      </c>
      <c r="B46" s="205" t="s">
        <v>68</v>
      </c>
      <c r="C46" s="205" t="s">
        <v>52</v>
      </c>
      <c r="D46" s="205">
        <v>100</v>
      </c>
      <c r="E46" s="205">
        <v>162.69999999999999</v>
      </c>
      <c r="F46" s="205">
        <v>1.5</v>
      </c>
      <c r="G46" s="202">
        <f t="shared" si="2"/>
        <v>14887.05</v>
      </c>
      <c r="H46" s="205">
        <v>0</v>
      </c>
      <c r="I46" s="202">
        <f t="shared" si="3"/>
        <v>0</v>
      </c>
      <c r="J46" s="205">
        <v>61</v>
      </c>
      <c r="K46" s="207" t="s">
        <v>54</v>
      </c>
    </row>
    <row r="47" spans="1:11" ht="82.5" x14ac:dyDescent="0.55000000000000004">
      <c r="A47" s="206" t="s">
        <v>64</v>
      </c>
      <c r="B47" s="205" t="s">
        <v>68</v>
      </c>
      <c r="C47" s="205" t="s">
        <v>66</v>
      </c>
      <c r="D47" s="205">
        <v>23</v>
      </c>
      <c r="E47" s="205">
        <v>45.4</v>
      </c>
      <c r="F47" s="205">
        <v>0</v>
      </c>
      <c r="G47" s="202">
        <f t="shared" si="2"/>
        <v>0</v>
      </c>
      <c r="H47" s="205">
        <v>0</v>
      </c>
      <c r="I47" s="202">
        <f t="shared" si="3"/>
        <v>0</v>
      </c>
      <c r="J47" s="205">
        <v>0</v>
      </c>
      <c r="K47" s="207" t="s">
        <v>54</v>
      </c>
    </row>
    <row r="48" spans="1:11" ht="82.5" x14ac:dyDescent="0.55000000000000004">
      <c r="A48" s="206" t="s">
        <v>59</v>
      </c>
      <c r="B48" s="205" t="s">
        <v>68</v>
      </c>
      <c r="C48" s="205" t="s">
        <v>61</v>
      </c>
      <c r="D48" s="205">
        <v>200</v>
      </c>
      <c r="E48" s="205">
        <v>320</v>
      </c>
      <c r="F48" s="205">
        <v>0</v>
      </c>
      <c r="G48" s="202">
        <f t="shared" si="2"/>
        <v>0</v>
      </c>
      <c r="H48" s="205">
        <v>0</v>
      </c>
      <c r="I48" s="202">
        <f t="shared" si="3"/>
        <v>0</v>
      </c>
      <c r="J48" s="205">
        <v>0</v>
      </c>
      <c r="K48" s="207" t="s">
        <v>54</v>
      </c>
    </row>
    <row r="49" spans="1:11" ht="82.5" x14ac:dyDescent="0.55000000000000004">
      <c r="A49" s="206" t="s">
        <v>144</v>
      </c>
      <c r="B49" s="205" t="s">
        <v>68</v>
      </c>
      <c r="C49" s="205" t="s">
        <v>14</v>
      </c>
      <c r="D49" s="205">
        <v>0</v>
      </c>
      <c r="E49" s="205">
        <v>0</v>
      </c>
      <c r="F49" s="205">
        <v>3.1</v>
      </c>
      <c r="G49" s="202">
        <f t="shared" si="2"/>
        <v>0</v>
      </c>
      <c r="H49" s="205">
        <v>0</v>
      </c>
      <c r="I49" s="202">
        <f t="shared" si="3"/>
        <v>0</v>
      </c>
      <c r="J49" s="205">
        <v>925</v>
      </c>
      <c r="K49" s="207" t="s">
        <v>54</v>
      </c>
    </row>
    <row r="50" spans="1:11" ht="82.5" x14ac:dyDescent="0.55000000000000004">
      <c r="A50" s="206" t="s">
        <v>79</v>
      </c>
      <c r="B50" s="205" t="s">
        <v>68</v>
      </c>
      <c r="C50" s="205" t="s">
        <v>15</v>
      </c>
      <c r="D50" s="205">
        <v>25</v>
      </c>
      <c r="E50" s="205">
        <v>47.1</v>
      </c>
      <c r="F50" s="205">
        <v>0.28000000000000003</v>
      </c>
      <c r="G50" s="202">
        <f t="shared" si="2"/>
        <v>11539.500000000002</v>
      </c>
      <c r="H50" s="205">
        <v>0</v>
      </c>
      <c r="I50" s="202">
        <f t="shared" si="3"/>
        <v>0</v>
      </c>
      <c r="J50" s="205">
        <v>875</v>
      </c>
      <c r="K50" s="207" t="s">
        <v>54</v>
      </c>
    </row>
    <row r="51" spans="1:11" ht="82.5" x14ac:dyDescent="0.55000000000000004">
      <c r="A51" s="206" t="s">
        <v>149</v>
      </c>
      <c r="B51" s="205" t="s">
        <v>68</v>
      </c>
      <c r="C51" s="205" t="s">
        <v>34</v>
      </c>
      <c r="D51" s="205">
        <v>18</v>
      </c>
      <c r="E51" s="205">
        <v>35.200000000000003</v>
      </c>
      <c r="F51" s="205">
        <v>0.41</v>
      </c>
      <c r="G51" s="202">
        <f t="shared" si="2"/>
        <v>7360.32</v>
      </c>
      <c r="H51" s="205">
        <v>1.6</v>
      </c>
      <c r="I51" s="202">
        <f t="shared" si="3"/>
        <v>28723.200000000001</v>
      </c>
      <c r="J51" s="205">
        <v>510</v>
      </c>
      <c r="K51" s="207" t="s">
        <v>57</v>
      </c>
    </row>
    <row r="52" spans="1:11" ht="55" x14ac:dyDescent="0.55000000000000004">
      <c r="A52" s="206" t="s">
        <v>101</v>
      </c>
      <c r="B52" s="205" t="s">
        <v>150</v>
      </c>
      <c r="C52" s="205" t="s">
        <v>4</v>
      </c>
      <c r="D52" s="205">
        <v>300</v>
      </c>
      <c r="E52" s="205">
        <v>16.600000000000001</v>
      </c>
      <c r="F52" s="205">
        <v>0.12</v>
      </c>
      <c r="G52" s="202">
        <f t="shared" si="2"/>
        <v>4631.3999999999996</v>
      </c>
      <c r="H52" s="205">
        <v>0</v>
      </c>
      <c r="I52" s="202">
        <f t="shared" si="3"/>
        <v>0</v>
      </c>
      <c r="J52" s="205">
        <v>2325</v>
      </c>
      <c r="K52" s="207" t="s">
        <v>57</v>
      </c>
    </row>
    <row r="53" spans="1:11" ht="55" x14ac:dyDescent="0.55000000000000004">
      <c r="A53" s="206" t="s">
        <v>95</v>
      </c>
      <c r="B53" s="205" t="s">
        <v>146</v>
      </c>
      <c r="C53" s="205" t="s">
        <v>31</v>
      </c>
      <c r="D53" s="205">
        <v>270</v>
      </c>
      <c r="E53" s="205">
        <v>88.3</v>
      </c>
      <c r="F53" s="205">
        <v>0.17</v>
      </c>
      <c r="G53" s="202">
        <f t="shared" si="2"/>
        <v>21165.510000000002</v>
      </c>
      <c r="H53" s="205">
        <v>0</v>
      </c>
      <c r="I53" s="202">
        <f t="shared" si="3"/>
        <v>0</v>
      </c>
      <c r="J53" s="205">
        <v>1410</v>
      </c>
      <c r="K53" s="207" t="s">
        <v>57</v>
      </c>
    </row>
    <row r="54" spans="1:11" ht="55" x14ac:dyDescent="0.55000000000000004">
      <c r="A54" s="206" t="s">
        <v>90</v>
      </c>
      <c r="B54" s="205" t="s">
        <v>91</v>
      </c>
      <c r="C54" s="205" t="s">
        <v>22</v>
      </c>
      <c r="D54" s="205">
        <v>25</v>
      </c>
      <c r="E54" s="205">
        <v>14.8</v>
      </c>
      <c r="F54" s="205">
        <v>0.09</v>
      </c>
      <c r="G54" s="202">
        <f t="shared" si="2"/>
        <v>631.36800000000005</v>
      </c>
      <c r="H54" s="205">
        <v>1.6</v>
      </c>
      <c r="I54" s="202">
        <f t="shared" si="3"/>
        <v>11224.320000000002</v>
      </c>
      <c r="J54" s="205">
        <v>474</v>
      </c>
      <c r="K54" s="207" t="s">
        <v>54</v>
      </c>
    </row>
    <row r="55" spans="1:11" ht="55" x14ac:dyDescent="0.55000000000000004">
      <c r="A55" s="206" t="s">
        <v>94</v>
      </c>
      <c r="B55" s="205" t="s">
        <v>91</v>
      </c>
      <c r="C55" s="205" t="s">
        <v>28</v>
      </c>
      <c r="D55" s="205">
        <v>2</v>
      </c>
      <c r="E55" s="205">
        <v>1.2</v>
      </c>
      <c r="F55" s="205">
        <v>3.1</v>
      </c>
      <c r="G55" s="202">
        <f t="shared" si="2"/>
        <v>29202</v>
      </c>
      <c r="H55" s="205">
        <v>1.5</v>
      </c>
      <c r="I55" s="202">
        <f t="shared" si="3"/>
        <v>14130</v>
      </c>
      <c r="J55" s="205">
        <v>7850</v>
      </c>
      <c r="K55" s="207" t="s">
        <v>54</v>
      </c>
    </row>
    <row r="56" spans="1:11" ht="110" x14ac:dyDescent="0.55000000000000004">
      <c r="A56" s="206" t="s">
        <v>55</v>
      </c>
      <c r="B56" s="205" t="s">
        <v>88</v>
      </c>
      <c r="C56" s="205" t="s">
        <v>56</v>
      </c>
      <c r="D56" s="205">
        <v>100</v>
      </c>
      <c r="E56" s="205">
        <v>5.9</v>
      </c>
      <c r="F56" s="205">
        <v>0.12</v>
      </c>
      <c r="G56" s="202">
        <f t="shared" si="2"/>
        <v>1646.1</v>
      </c>
      <c r="H56" s="205">
        <v>0</v>
      </c>
      <c r="I56" s="202">
        <f t="shared" si="3"/>
        <v>0</v>
      </c>
      <c r="J56" s="205">
        <v>2325</v>
      </c>
      <c r="K56" s="207" t="s">
        <v>57</v>
      </c>
    </row>
    <row r="57" spans="1:11" ht="110" x14ac:dyDescent="0.55000000000000004">
      <c r="A57" s="206" t="s">
        <v>50</v>
      </c>
      <c r="B57" s="205" t="s">
        <v>88</v>
      </c>
      <c r="C57" s="205" t="s">
        <v>52</v>
      </c>
      <c r="D57" s="205">
        <v>140</v>
      </c>
      <c r="E57" s="205">
        <v>8.1999999999999993</v>
      </c>
      <c r="F57" s="205">
        <v>1.5</v>
      </c>
      <c r="G57" s="202">
        <f t="shared" si="2"/>
        <v>750.3</v>
      </c>
      <c r="H57" s="205">
        <v>0</v>
      </c>
      <c r="I57" s="202">
        <f t="shared" si="3"/>
        <v>0</v>
      </c>
      <c r="J57" s="205">
        <v>61</v>
      </c>
      <c r="K57" s="207" t="s">
        <v>54</v>
      </c>
    </row>
    <row r="58" spans="1:11" ht="110" x14ac:dyDescent="0.55000000000000004">
      <c r="A58" s="206" t="s">
        <v>58</v>
      </c>
      <c r="B58" s="205" t="s">
        <v>88</v>
      </c>
      <c r="C58" s="205" t="s">
        <v>32</v>
      </c>
      <c r="D58" s="205">
        <v>300</v>
      </c>
      <c r="E58" s="205">
        <v>16.8</v>
      </c>
      <c r="F58" s="205">
        <v>0.19</v>
      </c>
      <c r="G58" s="202">
        <f t="shared" si="2"/>
        <v>7660.8</v>
      </c>
      <c r="H58" s="205">
        <v>0</v>
      </c>
      <c r="I58" s="202">
        <f t="shared" si="3"/>
        <v>0</v>
      </c>
      <c r="J58" s="205">
        <v>2400</v>
      </c>
      <c r="K58" s="207" t="s">
        <v>54</v>
      </c>
    </row>
    <row r="59" spans="1:11" ht="110" x14ac:dyDescent="0.55000000000000004">
      <c r="A59" s="206" t="s">
        <v>55</v>
      </c>
      <c r="B59" s="205" t="s">
        <v>51</v>
      </c>
      <c r="C59" s="205" t="s">
        <v>56</v>
      </c>
      <c r="D59" s="205">
        <v>70</v>
      </c>
      <c r="E59" s="205">
        <v>0</v>
      </c>
      <c r="F59" s="205">
        <v>0.12</v>
      </c>
      <c r="G59" s="202">
        <f t="shared" si="2"/>
        <v>0</v>
      </c>
      <c r="H59" s="205">
        <v>0</v>
      </c>
      <c r="I59" s="202">
        <f t="shared" si="3"/>
        <v>0</v>
      </c>
      <c r="J59" s="205">
        <v>2325</v>
      </c>
      <c r="K59" s="207" t="s">
        <v>57</v>
      </c>
    </row>
    <row r="60" spans="1:11" ht="110" x14ac:dyDescent="0.55000000000000004">
      <c r="A60" s="206" t="s">
        <v>50</v>
      </c>
      <c r="B60" s="205" t="s">
        <v>51</v>
      </c>
      <c r="C60" s="205" t="s">
        <v>52</v>
      </c>
      <c r="D60" s="205">
        <v>250</v>
      </c>
      <c r="E60" s="205">
        <v>0</v>
      </c>
      <c r="F60" s="205">
        <v>1.5</v>
      </c>
      <c r="G60" s="202">
        <f t="shared" si="2"/>
        <v>0</v>
      </c>
      <c r="H60" s="205">
        <v>0</v>
      </c>
      <c r="I60" s="202">
        <f t="shared" si="3"/>
        <v>0</v>
      </c>
      <c r="J60" s="205">
        <v>61</v>
      </c>
      <c r="K60" s="207" t="s">
        <v>54</v>
      </c>
    </row>
    <row r="61" spans="1:11" ht="110" x14ac:dyDescent="0.55000000000000004">
      <c r="A61" s="206" t="s">
        <v>58</v>
      </c>
      <c r="B61" s="205" t="s">
        <v>51</v>
      </c>
      <c r="C61" s="205" t="s">
        <v>32</v>
      </c>
      <c r="D61" s="205">
        <v>150</v>
      </c>
      <c r="E61" s="205">
        <v>0</v>
      </c>
      <c r="F61" s="205">
        <v>0.19</v>
      </c>
      <c r="G61" s="202">
        <f t="shared" si="2"/>
        <v>0</v>
      </c>
      <c r="H61" s="205">
        <v>0</v>
      </c>
      <c r="I61" s="202">
        <f t="shared" si="3"/>
        <v>0</v>
      </c>
      <c r="J61" s="205">
        <v>2400</v>
      </c>
      <c r="K61" s="207" t="s">
        <v>54</v>
      </c>
    </row>
    <row r="62" spans="1:11" ht="110" x14ac:dyDescent="0.55000000000000004">
      <c r="A62" s="206" t="s">
        <v>50</v>
      </c>
      <c r="B62" s="205" t="s">
        <v>140</v>
      </c>
      <c r="C62" s="205" t="s">
        <v>52</v>
      </c>
      <c r="D62" s="205">
        <v>50</v>
      </c>
      <c r="E62" s="205">
        <v>55</v>
      </c>
      <c r="F62" s="205">
        <v>1.5</v>
      </c>
      <c r="G62" s="202">
        <f t="shared" si="2"/>
        <v>5032.5</v>
      </c>
      <c r="H62" s="205">
        <v>0</v>
      </c>
      <c r="I62" s="202">
        <f t="shared" si="3"/>
        <v>0</v>
      </c>
      <c r="J62" s="205">
        <v>61</v>
      </c>
      <c r="K62" s="207" t="s">
        <v>54</v>
      </c>
    </row>
    <row r="63" spans="1:11" ht="110" x14ac:dyDescent="0.55000000000000004">
      <c r="A63" s="206" t="s">
        <v>75</v>
      </c>
      <c r="B63" s="205" t="s">
        <v>140</v>
      </c>
      <c r="C63" s="205" t="s">
        <v>76</v>
      </c>
      <c r="D63" s="205">
        <v>200</v>
      </c>
      <c r="E63" s="205">
        <v>182</v>
      </c>
      <c r="F63" s="205">
        <v>1.5</v>
      </c>
      <c r="G63" s="202">
        <f t="shared" si="2"/>
        <v>9009</v>
      </c>
      <c r="H63" s="205">
        <v>0</v>
      </c>
      <c r="I63" s="202">
        <f t="shared" si="3"/>
        <v>0</v>
      </c>
      <c r="J63" s="205">
        <v>33</v>
      </c>
      <c r="K63" s="207" t="s">
        <v>54</v>
      </c>
    </row>
    <row r="64" spans="1:11" ht="110" x14ac:dyDescent="0.55000000000000004">
      <c r="A64" s="206" t="s">
        <v>59</v>
      </c>
      <c r="B64" s="205" t="s">
        <v>140</v>
      </c>
      <c r="C64" s="205" t="s">
        <v>61</v>
      </c>
      <c r="D64" s="205">
        <v>32</v>
      </c>
      <c r="E64" s="205">
        <v>35</v>
      </c>
      <c r="F64" s="205">
        <v>0</v>
      </c>
      <c r="G64" s="202">
        <f t="shared" si="2"/>
        <v>0</v>
      </c>
      <c r="H64" s="205">
        <v>0</v>
      </c>
      <c r="I64" s="202">
        <f t="shared" si="3"/>
        <v>0</v>
      </c>
      <c r="J64" s="205">
        <v>0</v>
      </c>
      <c r="K64" s="207" t="s">
        <v>57</v>
      </c>
    </row>
    <row r="65" spans="1:11" ht="110" x14ac:dyDescent="0.55000000000000004">
      <c r="A65" s="206" t="s">
        <v>147</v>
      </c>
      <c r="B65" s="205" t="s">
        <v>140</v>
      </c>
      <c r="C65" s="205" t="s">
        <v>148</v>
      </c>
      <c r="D65" s="205">
        <v>0</v>
      </c>
      <c r="E65" s="205">
        <v>0</v>
      </c>
      <c r="F65" s="205">
        <v>0</v>
      </c>
      <c r="G65" s="202">
        <f t="shared" si="2"/>
        <v>0</v>
      </c>
      <c r="H65" s="205">
        <v>0</v>
      </c>
      <c r="I65" s="202">
        <f t="shared" si="3"/>
        <v>0</v>
      </c>
      <c r="J65" s="205">
        <v>0</v>
      </c>
      <c r="K65" s="207" t="s">
        <v>54</v>
      </c>
    </row>
    <row r="66" spans="1:11" ht="110" x14ac:dyDescent="0.55000000000000004">
      <c r="A66" s="206" t="s">
        <v>79</v>
      </c>
      <c r="B66" s="205" t="s">
        <v>140</v>
      </c>
      <c r="C66" s="205" t="s">
        <v>15</v>
      </c>
      <c r="D66" s="205">
        <v>12</v>
      </c>
      <c r="E66" s="205">
        <v>10.4</v>
      </c>
      <c r="F66" s="205">
        <v>0.28000000000000003</v>
      </c>
      <c r="G66" s="202">
        <f t="shared" si="2"/>
        <v>2548.0000000000005</v>
      </c>
      <c r="H66" s="205">
        <v>0</v>
      </c>
      <c r="I66" s="202">
        <f t="shared" si="3"/>
        <v>0</v>
      </c>
      <c r="J66" s="205">
        <v>875</v>
      </c>
      <c r="K66" s="207" t="s">
        <v>57</v>
      </c>
    </row>
    <row r="67" spans="1:11" ht="110" x14ac:dyDescent="0.55000000000000004">
      <c r="A67" s="206" t="s">
        <v>79</v>
      </c>
      <c r="B67" s="205" t="s">
        <v>140</v>
      </c>
      <c r="C67" s="205" t="s">
        <v>15</v>
      </c>
      <c r="D67" s="205">
        <v>13</v>
      </c>
      <c r="E67" s="205">
        <v>11.4</v>
      </c>
      <c r="F67" s="205">
        <v>0.28000000000000003</v>
      </c>
      <c r="G67" s="202">
        <f t="shared" si="2"/>
        <v>2793.0000000000005</v>
      </c>
      <c r="H67" s="205">
        <v>0</v>
      </c>
      <c r="I67" s="202">
        <f t="shared" si="3"/>
        <v>0</v>
      </c>
      <c r="J67" s="205">
        <v>875</v>
      </c>
      <c r="K67" s="207" t="s">
        <v>57</v>
      </c>
    </row>
    <row r="68" spans="1:11" ht="110" x14ac:dyDescent="0.55000000000000004">
      <c r="A68" s="206" t="s">
        <v>78</v>
      </c>
      <c r="B68" s="205" t="s">
        <v>140</v>
      </c>
      <c r="C68" s="205" t="s">
        <v>26</v>
      </c>
      <c r="D68" s="205">
        <v>28</v>
      </c>
      <c r="E68" s="205">
        <v>31</v>
      </c>
      <c r="F68" s="205">
        <v>0.09</v>
      </c>
      <c r="G68" s="202">
        <f t="shared" si="2"/>
        <v>1322.46</v>
      </c>
      <c r="H68" s="205">
        <v>1.6</v>
      </c>
      <c r="I68" s="202">
        <f t="shared" si="3"/>
        <v>23510.400000000001</v>
      </c>
      <c r="J68" s="205">
        <v>474</v>
      </c>
      <c r="K68" s="207" t="s">
        <v>57</v>
      </c>
    </row>
    <row r="69" spans="1:11" ht="110" x14ac:dyDescent="0.55000000000000004">
      <c r="A69" s="206" t="s">
        <v>149</v>
      </c>
      <c r="B69" s="205" t="s">
        <v>140</v>
      </c>
      <c r="C69" s="205" t="s">
        <v>34</v>
      </c>
      <c r="D69" s="205">
        <v>12</v>
      </c>
      <c r="E69" s="205">
        <v>10</v>
      </c>
      <c r="F69" s="205">
        <v>0.41</v>
      </c>
      <c r="G69" s="202">
        <f t="shared" si="2"/>
        <v>2091</v>
      </c>
      <c r="H69" s="205">
        <v>1.6</v>
      </c>
      <c r="I69" s="202">
        <f t="shared" si="3"/>
        <v>8160</v>
      </c>
      <c r="J69" s="205">
        <v>510</v>
      </c>
      <c r="K69" s="207" t="s">
        <v>57</v>
      </c>
    </row>
    <row r="70" spans="1:11" ht="55" x14ac:dyDescent="0.55000000000000004">
      <c r="A70" s="206" t="s">
        <v>70</v>
      </c>
      <c r="B70" s="205" t="s">
        <v>138</v>
      </c>
      <c r="C70" s="205" t="s">
        <v>71</v>
      </c>
      <c r="D70" s="205">
        <v>12</v>
      </c>
      <c r="E70" s="205">
        <v>0.8</v>
      </c>
      <c r="F70" s="205">
        <v>1.02</v>
      </c>
      <c r="G70" s="202">
        <f t="shared" si="2"/>
        <v>48.96</v>
      </c>
      <c r="H70" s="205">
        <v>1.1000000000000001</v>
      </c>
      <c r="I70" s="202">
        <f t="shared" si="3"/>
        <v>52.800000000000004</v>
      </c>
      <c r="J70" s="205">
        <v>60</v>
      </c>
      <c r="K70" s="207" t="s">
        <v>54</v>
      </c>
    </row>
    <row r="71" spans="1:11" ht="55" x14ac:dyDescent="0.55000000000000004">
      <c r="A71" s="206" t="s">
        <v>64</v>
      </c>
      <c r="B71" s="205" t="s">
        <v>138</v>
      </c>
      <c r="C71" s="205" t="s">
        <v>66</v>
      </c>
      <c r="D71" s="205">
        <v>36</v>
      </c>
      <c r="E71" s="205">
        <v>2.2000000000000002</v>
      </c>
      <c r="F71" s="205">
        <v>0</v>
      </c>
      <c r="G71" s="202">
        <f t="shared" si="2"/>
        <v>0</v>
      </c>
      <c r="H71" s="205">
        <v>0</v>
      </c>
      <c r="I71" s="202">
        <f t="shared" si="3"/>
        <v>0</v>
      </c>
      <c r="J71" s="205">
        <v>0</v>
      </c>
      <c r="K71" s="207" t="s">
        <v>54</v>
      </c>
    </row>
    <row r="72" spans="1:11" ht="55" x14ac:dyDescent="0.55000000000000004">
      <c r="A72" s="206" t="s">
        <v>78</v>
      </c>
      <c r="B72" s="205" t="s">
        <v>138</v>
      </c>
      <c r="C72" s="205" t="s">
        <v>26</v>
      </c>
      <c r="D72" s="205">
        <v>28</v>
      </c>
      <c r="E72" s="205">
        <v>1.6</v>
      </c>
      <c r="F72" s="205">
        <v>0.09</v>
      </c>
      <c r="G72" s="202">
        <f t="shared" ref="G72:G92" si="4">(E72*J72)*F72</f>
        <v>68.256</v>
      </c>
      <c r="H72" s="205">
        <v>1.6</v>
      </c>
      <c r="I72" s="202">
        <f t="shared" ref="I72:I92" si="5">(E72*J72)*H72</f>
        <v>1213.4400000000003</v>
      </c>
      <c r="J72" s="205">
        <v>474</v>
      </c>
      <c r="K72" s="207" t="s">
        <v>54</v>
      </c>
    </row>
    <row r="73" spans="1:11" ht="55" x14ac:dyDescent="0.55000000000000004">
      <c r="A73" s="206" t="s">
        <v>95</v>
      </c>
      <c r="B73" s="205" t="s">
        <v>106</v>
      </c>
      <c r="C73" s="205" t="s">
        <v>30</v>
      </c>
      <c r="D73" s="205">
        <v>440</v>
      </c>
      <c r="E73" s="205">
        <v>31.6</v>
      </c>
      <c r="F73" s="205">
        <v>0.14000000000000001</v>
      </c>
      <c r="G73" s="202">
        <f t="shared" si="4"/>
        <v>10617.6</v>
      </c>
      <c r="H73" s="205">
        <v>0</v>
      </c>
      <c r="I73" s="202">
        <f t="shared" si="5"/>
        <v>0</v>
      </c>
      <c r="J73" s="205">
        <v>2400</v>
      </c>
      <c r="K73" s="207" t="s">
        <v>54</v>
      </c>
    </row>
    <row r="74" spans="1:11" ht="55" x14ac:dyDescent="0.55000000000000004">
      <c r="A74" s="206" t="s">
        <v>72</v>
      </c>
      <c r="B74" s="205" t="s">
        <v>77</v>
      </c>
      <c r="C74" s="205" t="s">
        <v>74</v>
      </c>
      <c r="D74" s="205">
        <v>140</v>
      </c>
      <c r="E74" s="205">
        <v>37.6</v>
      </c>
      <c r="F74" s="205">
        <v>1.5</v>
      </c>
      <c r="G74" s="202">
        <f t="shared" si="4"/>
        <v>3440.3999999999996</v>
      </c>
      <c r="H74" s="205">
        <v>0</v>
      </c>
      <c r="I74" s="202">
        <f t="shared" si="5"/>
        <v>0</v>
      </c>
      <c r="J74" s="205">
        <v>61</v>
      </c>
      <c r="K74" s="207" t="s">
        <v>54</v>
      </c>
    </row>
    <row r="75" spans="1:11" ht="55" x14ac:dyDescent="0.55000000000000004">
      <c r="A75" s="206" t="s">
        <v>95</v>
      </c>
      <c r="B75" s="205" t="s">
        <v>77</v>
      </c>
      <c r="C75" s="205" t="s">
        <v>30</v>
      </c>
      <c r="D75" s="205">
        <v>100</v>
      </c>
      <c r="E75" s="205">
        <v>27.1</v>
      </c>
      <c r="F75" s="205">
        <v>0.14000000000000001</v>
      </c>
      <c r="G75" s="202">
        <f t="shared" si="4"/>
        <v>9105.6</v>
      </c>
      <c r="H75" s="205">
        <v>0</v>
      </c>
      <c r="I75" s="202">
        <f t="shared" si="5"/>
        <v>0</v>
      </c>
      <c r="J75" s="205">
        <v>2400</v>
      </c>
      <c r="K75" s="207" t="s">
        <v>54</v>
      </c>
    </row>
    <row r="76" spans="1:11" ht="55" x14ac:dyDescent="0.55000000000000004">
      <c r="A76" s="206" t="s">
        <v>95</v>
      </c>
      <c r="B76" s="205" t="s">
        <v>77</v>
      </c>
      <c r="C76" s="205" t="s">
        <v>30</v>
      </c>
      <c r="D76" s="205">
        <v>200</v>
      </c>
      <c r="E76" s="205">
        <v>52.7</v>
      </c>
      <c r="F76" s="205">
        <v>0.14000000000000001</v>
      </c>
      <c r="G76" s="202">
        <f t="shared" si="4"/>
        <v>17707.2</v>
      </c>
      <c r="H76" s="205">
        <v>0</v>
      </c>
      <c r="I76" s="202">
        <f t="shared" si="5"/>
        <v>0</v>
      </c>
      <c r="J76" s="205">
        <v>2400</v>
      </c>
      <c r="K76" s="207" t="s">
        <v>54</v>
      </c>
    </row>
    <row r="77" spans="1:11" ht="110" x14ac:dyDescent="0.55000000000000004">
      <c r="A77" s="206" t="s">
        <v>55</v>
      </c>
      <c r="B77" s="205" t="s">
        <v>143</v>
      </c>
      <c r="C77" s="205" t="s">
        <v>56</v>
      </c>
      <c r="D77" s="205">
        <v>150</v>
      </c>
      <c r="E77" s="205">
        <v>8.3000000000000007</v>
      </c>
      <c r="F77" s="205">
        <v>0.12</v>
      </c>
      <c r="G77" s="202">
        <f t="shared" si="4"/>
        <v>2315.6999999999998</v>
      </c>
      <c r="H77" s="205">
        <v>0</v>
      </c>
      <c r="I77" s="202">
        <f t="shared" si="5"/>
        <v>0</v>
      </c>
      <c r="J77" s="205">
        <v>2325</v>
      </c>
      <c r="K77" s="207" t="s">
        <v>57</v>
      </c>
    </row>
    <row r="78" spans="1:11" ht="110" x14ac:dyDescent="0.55000000000000004">
      <c r="A78" s="206" t="s">
        <v>72</v>
      </c>
      <c r="B78" s="205" t="s">
        <v>143</v>
      </c>
      <c r="C78" s="205" t="s">
        <v>74</v>
      </c>
      <c r="D78" s="205">
        <v>250</v>
      </c>
      <c r="E78" s="205">
        <v>13.9</v>
      </c>
      <c r="F78" s="205">
        <v>1.5</v>
      </c>
      <c r="G78" s="202">
        <f t="shared" si="4"/>
        <v>1271.8499999999999</v>
      </c>
      <c r="H78" s="205">
        <v>0</v>
      </c>
      <c r="I78" s="202">
        <f t="shared" si="5"/>
        <v>0</v>
      </c>
      <c r="J78" s="205">
        <v>61</v>
      </c>
      <c r="K78" s="207" t="s">
        <v>54</v>
      </c>
    </row>
    <row r="79" spans="1:11" ht="82.5" x14ac:dyDescent="0.55000000000000004">
      <c r="A79" s="206" t="s">
        <v>55</v>
      </c>
      <c r="B79" s="205" t="s">
        <v>84</v>
      </c>
      <c r="C79" s="205" t="s">
        <v>56</v>
      </c>
      <c r="D79" s="205">
        <v>100</v>
      </c>
      <c r="E79" s="205">
        <v>34.700000000000003</v>
      </c>
      <c r="F79" s="205">
        <v>0.12</v>
      </c>
      <c r="G79" s="202">
        <f t="shared" si="4"/>
        <v>9681.2999999999993</v>
      </c>
      <c r="H79" s="205">
        <v>0</v>
      </c>
      <c r="I79" s="202">
        <f t="shared" si="5"/>
        <v>0</v>
      </c>
      <c r="J79" s="205">
        <v>2325</v>
      </c>
      <c r="K79" s="207" t="s">
        <v>57</v>
      </c>
    </row>
    <row r="80" spans="1:11" ht="82.5" x14ac:dyDescent="0.55000000000000004">
      <c r="A80" s="206" t="s">
        <v>72</v>
      </c>
      <c r="B80" s="205" t="s">
        <v>84</v>
      </c>
      <c r="C80" s="205" t="s">
        <v>74</v>
      </c>
      <c r="D80" s="205">
        <v>300</v>
      </c>
      <c r="E80" s="205">
        <v>104.4</v>
      </c>
      <c r="F80" s="205">
        <v>1.5</v>
      </c>
      <c r="G80" s="202">
        <f t="shared" si="4"/>
        <v>9552.6</v>
      </c>
      <c r="H80" s="205">
        <v>0</v>
      </c>
      <c r="I80" s="202">
        <f t="shared" si="5"/>
        <v>0</v>
      </c>
      <c r="J80" s="205">
        <v>61</v>
      </c>
      <c r="K80" s="207" t="s">
        <v>54</v>
      </c>
    </row>
    <row r="81" spans="1:11" ht="55" x14ac:dyDescent="0.55000000000000004">
      <c r="A81" s="206" t="s">
        <v>55</v>
      </c>
      <c r="B81" s="205" t="s">
        <v>166</v>
      </c>
      <c r="C81" s="205" t="s">
        <v>56</v>
      </c>
      <c r="D81" s="205">
        <v>740</v>
      </c>
      <c r="E81" s="205">
        <v>40.799999999999997</v>
      </c>
      <c r="F81" s="205">
        <v>0.12</v>
      </c>
      <c r="G81" s="202">
        <f t="shared" si="4"/>
        <v>11383.199999999999</v>
      </c>
      <c r="H81" s="205">
        <v>0</v>
      </c>
      <c r="I81" s="202">
        <f t="shared" si="5"/>
        <v>0</v>
      </c>
      <c r="J81" s="205">
        <v>2325</v>
      </c>
      <c r="K81" s="207" t="s">
        <v>54</v>
      </c>
    </row>
    <row r="82" spans="1:11" ht="55" x14ac:dyDescent="0.55000000000000004">
      <c r="A82" s="206" t="s">
        <v>58</v>
      </c>
      <c r="B82" s="205" t="s">
        <v>166</v>
      </c>
      <c r="C82" s="205" t="s">
        <v>32</v>
      </c>
      <c r="D82" s="205">
        <v>540</v>
      </c>
      <c r="E82" s="205">
        <v>35.200000000000003</v>
      </c>
      <c r="F82" s="205">
        <v>0.19</v>
      </c>
      <c r="G82" s="202">
        <f t="shared" si="4"/>
        <v>16051.2</v>
      </c>
      <c r="H82" s="205">
        <v>0</v>
      </c>
      <c r="I82" s="202">
        <f t="shared" si="5"/>
        <v>0</v>
      </c>
      <c r="J82" s="205">
        <v>2400</v>
      </c>
      <c r="K82" s="207" t="s">
        <v>54</v>
      </c>
    </row>
    <row r="83" spans="1:11" ht="55" x14ac:dyDescent="0.55000000000000004">
      <c r="A83" s="206" t="s">
        <v>55</v>
      </c>
      <c r="B83" s="205" t="s">
        <v>82</v>
      </c>
      <c r="C83" s="205" t="s">
        <v>56</v>
      </c>
      <c r="D83" s="205" t="s">
        <v>82</v>
      </c>
      <c r="E83" s="205">
        <v>22</v>
      </c>
      <c r="F83" s="205">
        <v>0.12</v>
      </c>
      <c r="G83" s="202">
        <f t="shared" si="4"/>
        <v>6138</v>
      </c>
      <c r="H83" s="205">
        <v>0</v>
      </c>
      <c r="I83" s="202">
        <f t="shared" si="5"/>
        <v>0</v>
      </c>
      <c r="J83" s="205">
        <v>2325</v>
      </c>
      <c r="K83" s="207" t="s">
        <v>82</v>
      </c>
    </row>
    <row r="84" spans="1:11" ht="27.5" x14ac:dyDescent="0.55000000000000004">
      <c r="A84" s="206" t="s">
        <v>81</v>
      </c>
      <c r="B84" s="205" t="s">
        <v>82</v>
      </c>
      <c r="C84" s="205" t="s">
        <v>18</v>
      </c>
      <c r="D84" s="205">
        <v>5</v>
      </c>
      <c r="E84" s="205">
        <v>0</v>
      </c>
      <c r="F84" s="205">
        <v>0</v>
      </c>
      <c r="G84" s="202">
        <f t="shared" si="4"/>
        <v>0</v>
      </c>
      <c r="H84" s="205">
        <v>0</v>
      </c>
      <c r="I84" s="202">
        <f t="shared" si="5"/>
        <v>0</v>
      </c>
      <c r="J84" s="205">
        <v>0</v>
      </c>
      <c r="K84" s="207" t="s">
        <v>83</v>
      </c>
    </row>
    <row r="85" spans="1:11" ht="27.5" x14ac:dyDescent="0.55000000000000004">
      <c r="A85" s="206" t="s">
        <v>89</v>
      </c>
      <c r="B85" s="205" t="s">
        <v>82</v>
      </c>
      <c r="C85" s="205" t="s">
        <v>24</v>
      </c>
      <c r="D85" s="205">
        <v>45</v>
      </c>
      <c r="E85" s="205">
        <v>10.8</v>
      </c>
      <c r="F85" s="205">
        <v>0.36</v>
      </c>
      <c r="G85" s="202">
        <f t="shared" si="4"/>
        <v>1842.9120000000003</v>
      </c>
      <c r="H85" s="205">
        <v>1.6</v>
      </c>
      <c r="I85" s="202">
        <f t="shared" si="5"/>
        <v>8190.7200000000012</v>
      </c>
      <c r="J85" s="205">
        <v>474</v>
      </c>
      <c r="K85" s="207" t="s">
        <v>54</v>
      </c>
    </row>
    <row r="86" spans="1:11" ht="27.5" x14ac:dyDescent="0.55000000000000004">
      <c r="A86" s="206" t="s">
        <v>89</v>
      </c>
      <c r="B86" s="205" t="s">
        <v>82</v>
      </c>
      <c r="C86" s="205" t="s">
        <v>24</v>
      </c>
      <c r="D86" s="205">
        <v>51</v>
      </c>
      <c r="E86" s="205">
        <v>247.6</v>
      </c>
      <c r="F86" s="205">
        <v>0.36</v>
      </c>
      <c r="G86" s="202">
        <f t="shared" si="4"/>
        <v>42250.464</v>
      </c>
      <c r="H86" s="205">
        <v>1.6</v>
      </c>
      <c r="I86" s="202">
        <f t="shared" si="5"/>
        <v>187779.84</v>
      </c>
      <c r="J86" s="205">
        <v>474</v>
      </c>
      <c r="K86" s="207" t="s">
        <v>54</v>
      </c>
    </row>
    <row r="87" spans="1:11" ht="27.5" x14ac:dyDescent="0.55000000000000004">
      <c r="A87" s="206" t="s">
        <v>89</v>
      </c>
      <c r="B87" s="205" t="s">
        <v>82</v>
      </c>
      <c r="C87" s="205" t="s">
        <v>24</v>
      </c>
      <c r="D87" s="205">
        <v>98</v>
      </c>
      <c r="E87" s="205">
        <v>2</v>
      </c>
      <c r="F87" s="205">
        <v>0.36</v>
      </c>
      <c r="G87" s="202">
        <f t="shared" si="4"/>
        <v>341.28</v>
      </c>
      <c r="H87" s="205">
        <v>1.6</v>
      </c>
      <c r="I87" s="202">
        <f t="shared" si="5"/>
        <v>1516.8000000000002</v>
      </c>
      <c r="J87" s="205">
        <v>474</v>
      </c>
      <c r="K87" s="207" t="s">
        <v>54</v>
      </c>
    </row>
    <row r="88" spans="1:11" ht="27.5" x14ac:dyDescent="0.55000000000000004">
      <c r="A88" s="206" t="s">
        <v>89</v>
      </c>
      <c r="B88" s="205" t="s">
        <v>82</v>
      </c>
      <c r="C88" s="205" t="s">
        <v>24</v>
      </c>
      <c r="D88" s="205">
        <v>200</v>
      </c>
      <c r="E88" s="205">
        <v>12</v>
      </c>
      <c r="F88" s="205">
        <v>0.36</v>
      </c>
      <c r="G88" s="202">
        <f t="shared" si="4"/>
        <v>2047.6799999999998</v>
      </c>
      <c r="H88" s="205">
        <v>1.6</v>
      </c>
      <c r="I88" s="202">
        <f t="shared" si="5"/>
        <v>9100.8000000000011</v>
      </c>
      <c r="J88" s="205">
        <v>474</v>
      </c>
      <c r="K88" s="207" t="s">
        <v>54</v>
      </c>
    </row>
    <row r="89" spans="1:11" ht="55" x14ac:dyDescent="0.55000000000000004">
      <c r="A89" s="206" t="s">
        <v>145</v>
      </c>
      <c r="B89" s="205" t="s">
        <v>82</v>
      </c>
      <c r="C89" s="205" t="s">
        <v>25</v>
      </c>
      <c r="D89" s="205">
        <v>48</v>
      </c>
      <c r="E89" s="208">
        <v>0</v>
      </c>
      <c r="F89" s="205">
        <v>0.09</v>
      </c>
      <c r="G89" s="202">
        <f t="shared" si="4"/>
        <v>0</v>
      </c>
      <c r="H89" s="205">
        <v>1.6</v>
      </c>
      <c r="I89" s="202">
        <f t="shared" si="5"/>
        <v>0</v>
      </c>
      <c r="J89" s="205">
        <v>474</v>
      </c>
      <c r="K89" s="207" t="s">
        <v>54</v>
      </c>
    </row>
    <row r="90" spans="1:11" ht="55" x14ac:dyDescent="0.55000000000000004">
      <c r="A90" s="206" t="s">
        <v>145</v>
      </c>
      <c r="B90" s="205" t="s">
        <v>82</v>
      </c>
      <c r="C90" s="205" t="s">
        <v>25</v>
      </c>
      <c r="D90" s="205">
        <v>98</v>
      </c>
      <c r="E90" s="205">
        <v>0</v>
      </c>
      <c r="F90" s="205">
        <v>0.09</v>
      </c>
      <c r="G90" s="202">
        <f t="shared" si="4"/>
        <v>0</v>
      </c>
      <c r="H90" s="205">
        <v>1.6</v>
      </c>
      <c r="I90" s="202">
        <f t="shared" si="5"/>
        <v>0</v>
      </c>
      <c r="J90" s="205">
        <v>474</v>
      </c>
      <c r="K90" s="207" t="s">
        <v>54</v>
      </c>
    </row>
    <row r="91" spans="1:11" ht="55" x14ac:dyDescent="0.55000000000000004">
      <c r="A91" s="206" t="s">
        <v>145</v>
      </c>
      <c r="B91" s="205" t="s">
        <v>82</v>
      </c>
      <c r="C91" s="205" t="s">
        <v>25</v>
      </c>
      <c r="D91" s="205">
        <v>198</v>
      </c>
      <c r="E91" s="205">
        <v>0</v>
      </c>
      <c r="F91" s="205">
        <v>0.09</v>
      </c>
      <c r="G91" s="202">
        <f t="shared" si="4"/>
        <v>0</v>
      </c>
      <c r="H91" s="205">
        <v>1.6</v>
      </c>
      <c r="I91" s="202">
        <f t="shared" si="5"/>
        <v>0</v>
      </c>
      <c r="J91" s="205">
        <v>474</v>
      </c>
      <c r="K91" s="207" t="s">
        <v>54</v>
      </c>
    </row>
    <row r="92" spans="1:11" ht="55" x14ac:dyDescent="0.55000000000000004">
      <c r="A92" s="206" t="s">
        <v>145</v>
      </c>
      <c r="B92" s="205" t="s">
        <v>82</v>
      </c>
      <c r="C92" s="205" t="s">
        <v>25</v>
      </c>
      <c r="D92" s="205">
        <v>200</v>
      </c>
      <c r="E92" s="205">
        <v>0</v>
      </c>
      <c r="F92" s="205">
        <v>0.09</v>
      </c>
      <c r="G92" s="202">
        <f t="shared" si="4"/>
        <v>0</v>
      </c>
      <c r="H92" s="205">
        <v>1.6</v>
      </c>
      <c r="I92" s="202">
        <f t="shared" si="5"/>
        <v>0</v>
      </c>
      <c r="J92" s="205">
        <v>474</v>
      </c>
      <c r="K92" s="207" t="s">
        <v>54</v>
      </c>
    </row>
    <row r="93" spans="1:11" ht="24.5" x14ac:dyDescent="0.55000000000000004">
      <c r="A93" s="202"/>
      <c r="B93" s="202"/>
      <c r="C93" s="202"/>
      <c r="D93" s="202"/>
      <c r="E93" s="202"/>
      <c r="F93" s="202"/>
      <c r="G93" s="209">
        <f>SUM(G8:G92)</f>
        <v>398470.82799999992</v>
      </c>
      <c r="H93" s="209"/>
      <c r="I93" s="209">
        <f t="shared" ref="I93" si="6">SUM(I8:I92)</f>
        <v>300607.82</v>
      </c>
      <c r="J93" s="202"/>
      <c r="K93" s="202"/>
    </row>
    <row r="94" spans="1:11" ht="24.5" x14ac:dyDescent="0.55000000000000004">
      <c r="A94" s="202"/>
      <c r="B94" s="202"/>
      <c r="C94" s="202"/>
      <c r="D94" s="202"/>
      <c r="E94" s="202"/>
      <c r="F94" s="202"/>
      <c r="G94" s="202"/>
      <c r="H94" s="202"/>
      <c r="I94" s="202"/>
      <c r="J94" s="202"/>
      <c r="K94" s="202"/>
    </row>
    <row r="95" spans="1:11" ht="24.5" x14ac:dyDescent="0.55000000000000004">
      <c r="A95" s="202"/>
      <c r="B95" s="202"/>
      <c r="C95" s="202"/>
      <c r="D95" s="202"/>
      <c r="E95" s="202"/>
      <c r="F95" s="202"/>
      <c r="G95" s="202"/>
      <c r="H95" s="209">
        <f>G93-I93</f>
        <v>97863.007999999914</v>
      </c>
      <c r="I95" s="202" t="s">
        <v>44</v>
      </c>
      <c r="J95" s="202"/>
      <c r="K95" s="202"/>
    </row>
    <row r="96" spans="1:11" ht="24.5" x14ac:dyDescent="0.55000000000000004">
      <c r="A96" s="202"/>
      <c r="B96" s="202"/>
      <c r="C96" s="202"/>
      <c r="D96" s="202"/>
      <c r="E96" s="202"/>
      <c r="F96" s="202"/>
      <c r="G96" s="202"/>
      <c r="H96" s="209">
        <f>H95/1000</f>
        <v>97.863007999999908</v>
      </c>
      <c r="I96" s="202" t="s">
        <v>110</v>
      </c>
      <c r="J96" s="202"/>
      <c r="K96" s="202"/>
    </row>
    <row r="103" spans="1:29" ht="15" thickBot="1" x14ac:dyDescent="0.4"/>
    <row r="104" spans="1:29" ht="82.5" x14ac:dyDescent="0.55000000000000004">
      <c r="A104" s="203" t="s">
        <v>36</v>
      </c>
      <c r="B104" s="203" t="s">
        <v>37</v>
      </c>
      <c r="C104" s="203" t="s">
        <v>38</v>
      </c>
      <c r="D104" s="203" t="s">
        <v>111</v>
      </c>
      <c r="E104" s="203" t="s">
        <v>112</v>
      </c>
      <c r="F104" s="203" t="s">
        <v>132</v>
      </c>
      <c r="G104" s="202"/>
      <c r="H104" s="203" t="s">
        <v>133</v>
      </c>
      <c r="I104" s="202"/>
      <c r="J104" s="203" t="s">
        <v>134</v>
      </c>
      <c r="K104" s="203" t="s">
        <v>47</v>
      </c>
      <c r="N104" s="120"/>
      <c r="O104" s="84"/>
      <c r="P104" s="84"/>
      <c r="Q104" s="84"/>
      <c r="R104" s="84"/>
      <c r="S104" s="84"/>
      <c r="T104" s="84"/>
      <c r="U104" s="84"/>
      <c r="V104" s="84"/>
      <c r="W104" s="84"/>
      <c r="X104" s="84"/>
      <c r="Y104" s="84"/>
      <c r="Z104" s="84"/>
      <c r="AA104" s="84"/>
      <c r="AB104" s="84"/>
      <c r="AC104" s="85"/>
    </row>
    <row r="105" spans="1:29" ht="55" x14ac:dyDescent="0.55000000000000004">
      <c r="A105" s="206" t="s">
        <v>145</v>
      </c>
      <c r="B105" s="205" t="s">
        <v>82</v>
      </c>
      <c r="C105" s="205" t="s">
        <v>25</v>
      </c>
      <c r="D105" s="205">
        <v>48</v>
      </c>
      <c r="E105" s="205">
        <v>0</v>
      </c>
      <c r="F105" s="205">
        <v>0.09</v>
      </c>
      <c r="G105" s="202">
        <f t="shared" ref="G105:G136" si="7">(E105*J105)*F105</f>
        <v>0</v>
      </c>
      <c r="H105" s="205">
        <v>1.6</v>
      </c>
      <c r="I105" s="202">
        <f t="shared" ref="I105:I136" si="8">(E105*J105)*H105</f>
        <v>0</v>
      </c>
      <c r="J105" s="205">
        <v>474</v>
      </c>
      <c r="K105" s="207" t="s">
        <v>54</v>
      </c>
      <c r="N105" s="86"/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20"/>
      <c r="Z105" s="20"/>
      <c r="AA105" s="20"/>
      <c r="AB105" s="20"/>
      <c r="AC105" s="121"/>
    </row>
    <row r="106" spans="1:29" ht="55" x14ac:dyDescent="0.55000000000000004">
      <c r="A106" s="206" t="s">
        <v>145</v>
      </c>
      <c r="B106" s="205" t="s">
        <v>82</v>
      </c>
      <c r="C106" s="205" t="s">
        <v>25</v>
      </c>
      <c r="D106" s="205">
        <v>98</v>
      </c>
      <c r="E106" s="205">
        <v>0</v>
      </c>
      <c r="F106" s="205">
        <v>0.09</v>
      </c>
      <c r="G106" s="202">
        <f t="shared" si="7"/>
        <v>0</v>
      </c>
      <c r="H106" s="205">
        <v>1.6</v>
      </c>
      <c r="I106" s="202">
        <f t="shared" si="8"/>
        <v>0</v>
      </c>
      <c r="J106" s="205">
        <v>474</v>
      </c>
      <c r="K106" s="207" t="s">
        <v>54</v>
      </c>
      <c r="N106" s="86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  <c r="AC106" s="121"/>
    </row>
    <row r="107" spans="1:29" ht="55" x14ac:dyDescent="0.6">
      <c r="A107" s="206" t="s">
        <v>145</v>
      </c>
      <c r="B107" s="205" t="s">
        <v>82</v>
      </c>
      <c r="C107" s="205" t="s">
        <v>25</v>
      </c>
      <c r="D107" s="205">
        <v>198</v>
      </c>
      <c r="E107" s="205">
        <v>0</v>
      </c>
      <c r="F107" s="205">
        <v>0.09</v>
      </c>
      <c r="G107" s="202">
        <f t="shared" si="7"/>
        <v>0</v>
      </c>
      <c r="H107" s="205">
        <v>1.6</v>
      </c>
      <c r="I107" s="202">
        <f t="shared" si="8"/>
        <v>0</v>
      </c>
      <c r="J107" s="205">
        <v>474</v>
      </c>
      <c r="K107" s="207" t="s">
        <v>54</v>
      </c>
      <c r="N107" s="210"/>
      <c r="O107" s="211"/>
      <c r="P107" s="211"/>
      <c r="Q107" s="211"/>
      <c r="R107" s="211"/>
      <c r="S107" s="211"/>
      <c r="T107" s="211"/>
      <c r="U107" s="212"/>
      <c r="V107" s="211"/>
      <c r="W107" s="211"/>
      <c r="X107" s="211"/>
      <c r="Y107" s="211"/>
      <c r="Z107" s="211"/>
      <c r="AA107" s="211"/>
      <c r="AB107" s="211"/>
      <c r="AC107" s="213"/>
    </row>
    <row r="108" spans="1:29" ht="55" x14ac:dyDescent="0.6">
      <c r="A108" s="206" t="s">
        <v>145</v>
      </c>
      <c r="B108" s="205" t="s">
        <v>82</v>
      </c>
      <c r="C108" s="205" t="s">
        <v>25</v>
      </c>
      <c r="D108" s="205">
        <v>200</v>
      </c>
      <c r="E108" s="205">
        <v>0</v>
      </c>
      <c r="F108" s="205">
        <v>0.09</v>
      </c>
      <c r="G108" s="202">
        <f t="shared" si="7"/>
        <v>0</v>
      </c>
      <c r="H108" s="205">
        <v>1.6</v>
      </c>
      <c r="I108" s="202">
        <f t="shared" si="8"/>
        <v>0</v>
      </c>
      <c r="J108" s="205">
        <v>474</v>
      </c>
      <c r="K108" s="207" t="s">
        <v>54</v>
      </c>
      <c r="N108" s="210"/>
      <c r="O108" s="211"/>
      <c r="P108" s="214"/>
      <c r="Q108" s="214"/>
      <c r="R108" s="214"/>
      <c r="S108" s="211"/>
      <c r="T108" s="211"/>
      <c r="U108" s="211"/>
      <c r="V108" s="211"/>
      <c r="W108" s="211"/>
      <c r="X108" s="211"/>
      <c r="Y108" s="211"/>
      <c r="Z108" s="211"/>
      <c r="AA108" s="211"/>
      <c r="AB108" s="211"/>
      <c r="AC108" s="213"/>
    </row>
    <row r="109" spans="1:29" ht="27.5" x14ac:dyDescent="0.6">
      <c r="A109" s="206" t="s">
        <v>89</v>
      </c>
      <c r="B109" s="205" t="s">
        <v>82</v>
      </c>
      <c r="C109" s="205" t="s">
        <v>24</v>
      </c>
      <c r="D109" s="205">
        <v>45</v>
      </c>
      <c r="E109" s="205">
        <v>10.8</v>
      </c>
      <c r="F109" s="205">
        <v>0.36</v>
      </c>
      <c r="G109" s="202">
        <f t="shared" si="7"/>
        <v>1842.9120000000003</v>
      </c>
      <c r="H109" s="205">
        <v>1.6</v>
      </c>
      <c r="I109" s="202">
        <f t="shared" si="8"/>
        <v>8190.7200000000012</v>
      </c>
      <c r="J109" s="205">
        <v>474</v>
      </c>
      <c r="K109" s="207" t="s">
        <v>54</v>
      </c>
      <c r="N109" s="210"/>
      <c r="O109" s="211"/>
      <c r="P109" s="211"/>
      <c r="Q109" s="211"/>
      <c r="R109" s="211"/>
      <c r="S109" s="211"/>
      <c r="T109" s="211"/>
      <c r="U109" s="211"/>
      <c r="V109" s="211"/>
      <c r="W109" s="211"/>
      <c r="X109" s="211"/>
      <c r="Y109" s="211"/>
      <c r="Z109" s="211"/>
      <c r="AA109" s="211"/>
      <c r="AB109" s="211"/>
      <c r="AC109" s="213"/>
    </row>
    <row r="110" spans="1:29" ht="27.5" x14ac:dyDescent="0.6">
      <c r="A110" s="206" t="s">
        <v>89</v>
      </c>
      <c r="B110" s="205" t="s">
        <v>82</v>
      </c>
      <c r="C110" s="205" t="s">
        <v>24</v>
      </c>
      <c r="D110" s="205">
        <v>51</v>
      </c>
      <c r="E110" s="205">
        <v>247.6</v>
      </c>
      <c r="F110" s="205">
        <v>0.36</v>
      </c>
      <c r="G110" s="202">
        <f t="shared" si="7"/>
        <v>42250.464</v>
      </c>
      <c r="H110" s="205">
        <v>1.6</v>
      </c>
      <c r="I110" s="202">
        <f t="shared" si="8"/>
        <v>187779.84</v>
      </c>
      <c r="J110" s="205">
        <v>474</v>
      </c>
      <c r="K110" s="207" t="s">
        <v>54</v>
      </c>
      <c r="N110" s="210"/>
      <c r="O110" s="211"/>
      <c r="P110" s="211"/>
      <c r="Q110" s="211"/>
      <c r="R110" s="211"/>
      <c r="S110" s="211"/>
      <c r="T110" s="211"/>
      <c r="U110" s="211"/>
      <c r="V110" s="211"/>
      <c r="W110" s="211"/>
      <c r="X110" s="211"/>
      <c r="Y110" s="211"/>
      <c r="Z110" s="211"/>
      <c r="AA110" s="211"/>
      <c r="AB110" s="211"/>
      <c r="AC110" s="213"/>
    </row>
    <row r="111" spans="1:29" ht="27.5" x14ac:dyDescent="0.6">
      <c r="A111" s="206" t="s">
        <v>89</v>
      </c>
      <c r="B111" s="205" t="s">
        <v>82</v>
      </c>
      <c r="C111" s="205" t="s">
        <v>24</v>
      </c>
      <c r="D111" s="205">
        <v>98</v>
      </c>
      <c r="E111" s="205">
        <v>2</v>
      </c>
      <c r="F111" s="205">
        <v>0.36</v>
      </c>
      <c r="G111" s="202">
        <f t="shared" si="7"/>
        <v>341.28</v>
      </c>
      <c r="H111" s="205">
        <v>1.6</v>
      </c>
      <c r="I111" s="202">
        <f t="shared" si="8"/>
        <v>1516.8000000000002</v>
      </c>
      <c r="J111" s="205">
        <v>474</v>
      </c>
      <c r="K111" s="207" t="s">
        <v>54</v>
      </c>
      <c r="N111" s="210"/>
      <c r="O111" s="211"/>
      <c r="P111" s="211"/>
      <c r="Q111" s="211"/>
      <c r="R111" s="211"/>
      <c r="S111" s="211"/>
      <c r="T111" s="211"/>
      <c r="U111" s="211"/>
      <c r="V111" s="211"/>
      <c r="W111" s="211"/>
      <c r="X111" s="211"/>
      <c r="Y111" s="211"/>
      <c r="Z111" s="211"/>
      <c r="AA111" s="211"/>
      <c r="AB111" s="211"/>
      <c r="AC111" s="213"/>
    </row>
    <row r="112" spans="1:29" ht="27.5" x14ac:dyDescent="0.6">
      <c r="A112" s="206" t="s">
        <v>89</v>
      </c>
      <c r="B112" s="205" t="s">
        <v>82</v>
      </c>
      <c r="C112" s="205" t="s">
        <v>24</v>
      </c>
      <c r="D112" s="205">
        <v>200</v>
      </c>
      <c r="E112" s="205">
        <v>12</v>
      </c>
      <c r="F112" s="205">
        <v>0.36</v>
      </c>
      <c r="G112" s="202">
        <f t="shared" si="7"/>
        <v>2047.6799999999998</v>
      </c>
      <c r="H112" s="205">
        <v>1.6</v>
      </c>
      <c r="I112" s="202">
        <f t="shared" si="8"/>
        <v>9100.8000000000011</v>
      </c>
      <c r="J112" s="205">
        <v>474</v>
      </c>
      <c r="K112" s="207" t="s">
        <v>54</v>
      </c>
      <c r="N112" s="210"/>
      <c r="O112" s="211"/>
      <c r="P112" s="211"/>
      <c r="Q112" s="211"/>
      <c r="R112" s="211"/>
      <c r="S112" s="211"/>
      <c r="T112" s="211"/>
      <c r="U112" s="211"/>
      <c r="V112" s="211"/>
      <c r="W112" s="211"/>
      <c r="X112" s="211"/>
      <c r="Y112" s="211"/>
      <c r="Z112" s="211"/>
      <c r="AA112" s="211"/>
      <c r="AB112" s="211"/>
      <c r="AC112" s="213"/>
    </row>
    <row r="113" spans="1:37" ht="55" x14ac:dyDescent="0.6">
      <c r="A113" s="206" t="s">
        <v>55</v>
      </c>
      <c r="B113" s="205" t="s">
        <v>82</v>
      </c>
      <c r="C113" s="205" t="s">
        <v>56</v>
      </c>
      <c r="D113" s="205" t="s">
        <v>82</v>
      </c>
      <c r="E113" s="205">
        <v>22</v>
      </c>
      <c r="F113" s="205">
        <v>0.12</v>
      </c>
      <c r="G113" s="202">
        <f t="shared" si="7"/>
        <v>6138</v>
      </c>
      <c r="H113" s="205">
        <v>0</v>
      </c>
      <c r="I113" s="202">
        <f t="shared" si="8"/>
        <v>0</v>
      </c>
      <c r="J113" s="205">
        <v>2325</v>
      </c>
      <c r="K113" s="207" t="s">
        <v>82</v>
      </c>
      <c r="N113" s="210"/>
      <c r="O113" s="211"/>
      <c r="P113" s="211"/>
      <c r="Q113" s="211"/>
      <c r="R113" s="211"/>
      <c r="S113" s="215"/>
      <c r="T113" s="215"/>
      <c r="U113" s="211"/>
      <c r="V113" s="211"/>
      <c r="W113" s="211"/>
      <c r="X113" s="211"/>
      <c r="Y113" s="211"/>
      <c r="Z113" s="211"/>
      <c r="AA113" s="211"/>
      <c r="AB113" s="211"/>
      <c r="AC113" s="213"/>
    </row>
    <row r="114" spans="1:37" ht="55.5" thickBot="1" x14ac:dyDescent="0.65">
      <c r="A114" s="206" t="s">
        <v>55</v>
      </c>
      <c r="B114" s="205" t="s">
        <v>166</v>
      </c>
      <c r="C114" s="205" t="s">
        <v>56</v>
      </c>
      <c r="D114" s="205">
        <v>740</v>
      </c>
      <c r="E114" s="205">
        <v>40.799999999999997</v>
      </c>
      <c r="F114" s="205">
        <v>0.12</v>
      </c>
      <c r="G114" s="202">
        <f t="shared" si="7"/>
        <v>11383.199999999999</v>
      </c>
      <c r="H114" s="205">
        <v>0</v>
      </c>
      <c r="I114" s="202">
        <f t="shared" si="8"/>
        <v>0</v>
      </c>
      <c r="J114" s="205">
        <v>2325</v>
      </c>
      <c r="K114" s="207" t="s">
        <v>54</v>
      </c>
      <c r="N114" s="216"/>
      <c r="O114" s="217"/>
      <c r="P114" s="217"/>
      <c r="Q114" s="217"/>
      <c r="R114" s="217"/>
      <c r="S114" s="215"/>
      <c r="T114" s="215"/>
      <c r="U114" s="217"/>
      <c r="V114" s="217"/>
      <c r="W114" s="217"/>
      <c r="X114" s="217"/>
      <c r="Y114" s="217"/>
      <c r="Z114" s="217"/>
      <c r="AA114" s="217"/>
      <c r="AB114" s="217"/>
      <c r="AC114" s="218"/>
    </row>
    <row r="115" spans="1:37" ht="55" x14ac:dyDescent="0.55000000000000004">
      <c r="A115" s="206" t="s">
        <v>58</v>
      </c>
      <c r="B115" s="205" t="s">
        <v>166</v>
      </c>
      <c r="C115" s="205" t="s">
        <v>32</v>
      </c>
      <c r="D115" s="205">
        <v>540</v>
      </c>
      <c r="E115" s="205">
        <v>35.200000000000003</v>
      </c>
      <c r="F115" s="205">
        <v>0.19</v>
      </c>
      <c r="G115" s="202">
        <f t="shared" si="7"/>
        <v>16051.2</v>
      </c>
      <c r="H115" s="205">
        <v>0</v>
      </c>
      <c r="I115" s="202">
        <f t="shared" si="8"/>
        <v>0</v>
      </c>
      <c r="J115" s="205">
        <v>2400</v>
      </c>
      <c r="K115" s="207" t="s">
        <v>54</v>
      </c>
    </row>
    <row r="116" spans="1:37" ht="27.5" x14ac:dyDescent="0.55000000000000004">
      <c r="A116" s="206" t="s">
        <v>81</v>
      </c>
      <c r="B116" s="205" t="s">
        <v>82</v>
      </c>
      <c r="C116" s="205" t="s">
        <v>18</v>
      </c>
      <c r="D116" s="205">
        <v>5</v>
      </c>
      <c r="E116" s="205">
        <v>0</v>
      </c>
      <c r="F116" s="205">
        <v>0</v>
      </c>
      <c r="G116" s="202">
        <f t="shared" si="7"/>
        <v>0</v>
      </c>
      <c r="H116" s="205">
        <v>0</v>
      </c>
      <c r="I116" s="202">
        <f t="shared" si="8"/>
        <v>0</v>
      </c>
      <c r="J116" s="205">
        <v>0</v>
      </c>
      <c r="K116" s="207" t="s">
        <v>83</v>
      </c>
    </row>
    <row r="117" spans="1:37" ht="82.5" x14ac:dyDescent="0.55000000000000004">
      <c r="A117" s="206" t="s">
        <v>72</v>
      </c>
      <c r="B117" s="205" t="s">
        <v>84</v>
      </c>
      <c r="C117" s="205" t="s">
        <v>74</v>
      </c>
      <c r="D117" s="205">
        <v>300</v>
      </c>
      <c r="E117" s="205">
        <v>104.4</v>
      </c>
      <c r="F117" s="205">
        <v>1.5</v>
      </c>
      <c r="G117" s="202">
        <f t="shared" si="7"/>
        <v>9552.6</v>
      </c>
      <c r="H117" s="205">
        <v>0</v>
      </c>
      <c r="I117" s="202">
        <f t="shared" si="8"/>
        <v>0</v>
      </c>
      <c r="J117" s="205">
        <v>61</v>
      </c>
      <c r="K117" s="207" t="s">
        <v>54</v>
      </c>
    </row>
    <row r="118" spans="1:37" ht="82.5" x14ac:dyDescent="0.55000000000000004">
      <c r="A118" s="206" t="s">
        <v>55</v>
      </c>
      <c r="B118" s="205" t="s">
        <v>84</v>
      </c>
      <c r="C118" s="205" t="s">
        <v>56</v>
      </c>
      <c r="D118" s="205">
        <v>100</v>
      </c>
      <c r="E118" s="205">
        <v>34.700000000000003</v>
      </c>
      <c r="F118" s="205">
        <v>0.12</v>
      </c>
      <c r="G118" s="202">
        <f t="shared" si="7"/>
        <v>9681.2999999999993</v>
      </c>
      <c r="H118" s="205">
        <v>0</v>
      </c>
      <c r="I118" s="202">
        <f t="shared" si="8"/>
        <v>0</v>
      </c>
      <c r="J118" s="205">
        <v>2325</v>
      </c>
      <c r="K118" s="207" t="s">
        <v>57</v>
      </c>
    </row>
    <row r="119" spans="1:37" ht="110" x14ac:dyDescent="0.55000000000000004">
      <c r="A119" s="206" t="s">
        <v>72</v>
      </c>
      <c r="B119" s="205" t="s">
        <v>143</v>
      </c>
      <c r="C119" s="205" t="s">
        <v>74</v>
      </c>
      <c r="D119" s="205">
        <v>250</v>
      </c>
      <c r="E119" s="205">
        <v>13.9</v>
      </c>
      <c r="F119" s="205">
        <v>1.5</v>
      </c>
      <c r="G119" s="202">
        <f t="shared" si="7"/>
        <v>1271.8499999999999</v>
      </c>
      <c r="H119" s="205">
        <v>0</v>
      </c>
      <c r="I119" s="202">
        <f t="shared" si="8"/>
        <v>0</v>
      </c>
      <c r="J119" s="205">
        <v>61</v>
      </c>
      <c r="K119" s="207" t="s">
        <v>54</v>
      </c>
    </row>
    <row r="120" spans="1:37" ht="110" x14ac:dyDescent="0.55000000000000004">
      <c r="A120" s="206" t="s">
        <v>55</v>
      </c>
      <c r="B120" s="205" t="s">
        <v>143</v>
      </c>
      <c r="C120" s="205" t="s">
        <v>56</v>
      </c>
      <c r="D120" s="205">
        <v>150</v>
      </c>
      <c r="E120" s="205">
        <v>8.3000000000000007</v>
      </c>
      <c r="F120" s="205">
        <v>0.12</v>
      </c>
      <c r="G120" s="202">
        <f t="shared" si="7"/>
        <v>2315.6999999999998</v>
      </c>
      <c r="H120" s="205">
        <v>0</v>
      </c>
      <c r="I120" s="202">
        <f t="shared" si="8"/>
        <v>0</v>
      </c>
      <c r="J120" s="205">
        <v>2325</v>
      </c>
      <c r="K120" s="207" t="s">
        <v>57</v>
      </c>
    </row>
    <row r="121" spans="1:37" ht="55" x14ac:dyDescent="0.6">
      <c r="A121" s="206" t="s">
        <v>72</v>
      </c>
      <c r="B121" s="205" t="s">
        <v>77</v>
      </c>
      <c r="C121" s="205" t="s">
        <v>74</v>
      </c>
      <c r="D121" s="205">
        <v>140</v>
      </c>
      <c r="E121" s="205">
        <v>37.6</v>
      </c>
      <c r="F121" s="205">
        <v>1.5</v>
      </c>
      <c r="G121" s="202">
        <f t="shared" si="7"/>
        <v>3440.3999999999996</v>
      </c>
      <c r="H121" s="205">
        <v>0</v>
      </c>
      <c r="I121" s="202">
        <f t="shared" si="8"/>
        <v>0</v>
      </c>
      <c r="J121" s="205">
        <v>61</v>
      </c>
      <c r="K121" s="207" t="s">
        <v>54</v>
      </c>
      <c r="O121" s="215"/>
      <c r="P121" s="215"/>
      <c r="Q121" s="215"/>
      <c r="R121" s="215"/>
      <c r="S121" s="215"/>
      <c r="T121" s="215"/>
      <c r="U121" s="215"/>
      <c r="V121" s="215"/>
      <c r="W121" s="215"/>
      <c r="X121" s="215"/>
      <c r="Y121" s="215"/>
      <c r="Z121" s="215"/>
      <c r="AA121" s="215"/>
      <c r="AB121" s="215"/>
      <c r="AC121" s="215"/>
    </row>
    <row r="122" spans="1:37" ht="55" x14ac:dyDescent="0.6">
      <c r="A122" s="206" t="s">
        <v>95</v>
      </c>
      <c r="B122" s="205" t="s">
        <v>77</v>
      </c>
      <c r="C122" s="205" t="s">
        <v>30</v>
      </c>
      <c r="D122" s="205">
        <v>100</v>
      </c>
      <c r="E122" s="205">
        <v>27.1</v>
      </c>
      <c r="F122" s="205">
        <v>0.14000000000000001</v>
      </c>
      <c r="G122" s="202">
        <f t="shared" si="7"/>
        <v>9105.6</v>
      </c>
      <c r="H122" s="205">
        <v>0</v>
      </c>
      <c r="I122" s="202">
        <f t="shared" si="8"/>
        <v>0</v>
      </c>
      <c r="J122" s="205">
        <v>2400</v>
      </c>
      <c r="K122" s="207" t="s">
        <v>54</v>
      </c>
      <c r="O122" s="219"/>
      <c r="P122" s="219"/>
      <c r="Q122" s="219"/>
      <c r="R122" s="219"/>
      <c r="S122" s="219"/>
      <c r="T122" s="219"/>
      <c r="U122" s="219"/>
      <c r="V122" s="219"/>
      <c r="W122" s="220"/>
      <c r="X122" s="219"/>
      <c r="Y122" s="219"/>
      <c r="Z122" s="219"/>
      <c r="AA122" s="215"/>
      <c r="AB122" s="215"/>
      <c r="AC122" s="215"/>
    </row>
    <row r="123" spans="1:37" ht="55" x14ac:dyDescent="0.6">
      <c r="A123" s="206" t="s">
        <v>95</v>
      </c>
      <c r="B123" s="205" t="s">
        <v>77</v>
      </c>
      <c r="C123" s="205" t="s">
        <v>30</v>
      </c>
      <c r="D123" s="205">
        <v>200</v>
      </c>
      <c r="E123" s="205">
        <v>52.7</v>
      </c>
      <c r="F123" s="205">
        <v>0.14000000000000001</v>
      </c>
      <c r="G123" s="202">
        <f t="shared" si="7"/>
        <v>17707.2</v>
      </c>
      <c r="H123" s="205">
        <v>0</v>
      </c>
      <c r="I123" s="202">
        <f t="shared" si="8"/>
        <v>0</v>
      </c>
      <c r="J123" s="205">
        <v>2400</v>
      </c>
      <c r="K123" s="207" t="s">
        <v>54</v>
      </c>
      <c r="O123" s="219"/>
      <c r="P123" s="219"/>
      <c r="Q123" s="219"/>
      <c r="R123" s="219"/>
      <c r="S123" s="219"/>
      <c r="T123" s="219"/>
      <c r="U123" s="219"/>
      <c r="V123" s="219"/>
      <c r="W123" s="220"/>
      <c r="X123" s="219"/>
      <c r="Y123" s="219"/>
      <c r="Z123" s="219"/>
      <c r="AA123" s="215"/>
      <c r="AB123" s="215"/>
      <c r="AC123" s="215"/>
    </row>
    <row r="124" spans="1:37" ht="55" x14ac:dyDescent="0.6">
      <c r="A124" s="206" t="s">
        <v>95</v>
      </c>
      <c r="B124" s="205" t="s">
        <v>106</v>
      </c>
      <c r="C124" s="205" t="s">
        <v>30</v>
      </c>
      <c r="D124" s="205">
        <v>440</v>
      </c>
      <c r="E124" s="205">
        <v>31.6</v>
      </c>
      <c r="F124" s="205">
        <v>0.14000000000000001</v>
      </c>
      <c r="G124" s="202">
        <f t="shared" si="7"/>
        <v>10617.6</v>
      </c>
      <c r="H124" s="205">
        <v>0</v>
      </c>
      <c r="I124" s="202">
        <f t="shared" si="8"/>
        <v>0</v>
      </c>
      <c r="J124" s="205">
        <v>2400</v>
      </c>
      <c r="K124" s="207" t="s">
        <v>54</v>
      </c>
      <c r="O124" s="219"/>
      <c r="P124" s="219"/>
      <c r="Q124" s="215"/>
      <c r="R124" s="219"/>
      <c r="S124" s="219"/>
      <c r="T124" s="219"/>
      <c r="U124" s="219"/>
      <c r="V124" s="219"/>
      <c r="W124" s="219"/>
      <c r="X124" s="219"/>
      <c r="Y124" s="219"/>
      <c r="Z124" s="219"/>
      <c r="AA124" s="215"/>
      <c r="AB124" s="215"/>
      <c r="AC124" s="215"/>
    </row>
    <row r="125" spans="1:37" ht="55" x14ac:dyDescent="0.6">
      <c r="A125" s="206" t="s">
        <v>70</v>
      </c>
      <c r="B125" s="205" t="s">
        <v>138</v>
      </c>
      <c r="C125" s="205" t="s">
        <v>71</v>
      </c>
      <c r="D125" s="205">
        <v>12</v>
      </c>
      <c r="E125" s="205">
        <v>0.8</v>
      </c>
      <c r="F125" s="205">
        <v>1.02</v>
      </c>
      <c r="G125" s="202">
        <f t="shared" si="7"/>
        <v>48.96</v>
      </c>
      <c r="H125" s="205">
        <v>1.1000000000000001</v>
      </c>
      <c r="I125" s="202">
        <f t="shared" si="8"/>
        <v>52.800000000000004</v>
      </c>
      <c r="J125" s="205">
        <v>60</v>
      </c>
      <c r="K125" s="207" t="s">
        <v>54</v>
      </c>
      <c r="O125" s="215"/>
      <c r="P125" s="215"/>
      <c r="Q125" s="215"/>
      <c r="R125" s="215"/>
      <c r="S125" s="215"/>
      <c r="T125" s="215"/>
      <c r="U125" s="215"/>
      <c r="V125" s="215"/>
      <c r="W125" s="215"/>
      <c r="X125" s="215"/>
      <c r="Y125" s="219"/>
      <c r="Z125" s="219"/>
      <c r="AA125" s="215"/>
      <c r="AB125" s="215"/>
      <c r="AC125" s="215"/>
    </row>
    <row r="126" spans="1:37" ht="55.5" thickBot="1" x14ac:dyDescent="0.65">
      <c r="A126" s="206" t="s">
        <v>64</v>
      </c>
      <c r="B126" s="205" t="s">
        <v>138</v>
      </c>
      <c r="C126" s="205" t="s">
        <v>66</v>
      </c>
      <c r="D126" s="205">
        <v>36</v>
      </c>
      <c r="E126" s="205">
        <v>2.2000000000000002</v>
      </c>
      <c r="F126" s="205">
        <v>0</v>
      </c>
      <c r="G126" s="202">
        <f t="shared" si="7"/>
        <v>0</v>
      </c>
      <c r="H126" s="205">
        <v>0</v>
      </c>
      <c r="I126" s="202">
        <f t="shared" si="8"/>
        <v>0</v>
      </c>
      <c r="J126" s="205">
        <v>0</v>
      </c>
      <c r="K126" s="207" t="s">
        <v>54</v>
      </c>
      <c r="O126" s="215"/>
      <c r="P126" s="215"/>
      <c r="Q126" s="215"/>
      <c r="R126" s="215"/>
      <c r="S126" s="215"/>
      <c r="T126" s="215"/>
      <c r="U126" s="215"/>
      <c r="V126" s="215"/>
      <c r="W126" s="215"/>
      <c r="X126" s="215"/>
      <c r="Y126" s="215"/>
      <c r="Z126" s="215"/>
      <c r="AA126" s="215"/>
      <c r="AB126" s="215"/>
      <c r="AC126" s="215"/>
    </row>
    <row r="127" spans="1:37" ht="55" x14ac:dyDescent="0.55000000000000004">
      <c r="A127" s="206" t="s">
        <v>78</v>
      </c>
      <c r="B127" s="205" t="s">
        <v>138</v>
      </c>
      <c r="C127" s="205" t="s">
        <v>26</v>
      </c>
      <c r="D127" s="205">
        <v>28</v>
      </c>
      <c r="E127" s="205">
        <v>1.6</v>
      </c>
      <c r="F127" s="205">
        <v>0.09</v>
      </c>
      <c r="G127" s="202">
        <f t="shared" si="7"/>
        <v>68.256</v>
      </c>
      <c r="H127" s="205">
        <v>1.6</v>
      </c>
      <c r="I127" s="202">
        <f t="shared" si="8"/>
        <v>1213.4400000000003</v>
      </c>
      <c r="J127" s="205">
        <v>474</v>
      </c>
      <c r="K127" s="207" t="s">
        <v>54</v>
      </c>
      <c r="M127" s="120"/>
      <c r="N127" s="84"/>
      <c r="O127" s="84"/>
      <c r="P127" s="84"/>
      <c r="Q127" s="84"/>
      <c r="R127" s="84"/>
      <c r="S127" s="84"/>
      <c r="T127" s="84"/>
      <c r="U127" s="84"/>
      <c r="V127" s="84"/>
      <c r="W127" s="84"/>
      <c r="X127" s="84"/>
      <c r="Y127" s="84"/>
      <c r="Z127" s="84"/>
      <c r="AA127" s="84"/>
      <c r="AB127" s="84"/>
      <c r="AC127" s="84"/>
      <c r="AD127" s="84"/>
      <c r="AE127" s="84"/>
      <c r="AF127" s="84"/>
      <c r="AG127" s="84"/>
      <c r="AH127" s="84"/>
      <c r="AI127" s="84"/>
      <c r="AJ127" s="84"/>
      <c r="AK127" s="85"/>
    </row>
    <row r="128" spans="1:37" ht="110" x14ac:dyDescent="0.6">
      <c r="A128" s="221" t="s">
        <v>75</v>
      </c>
      <c r="B128" s="222" t="s">
        <v>140</v>
      </c>
      <c r="C128" s="222" t="s">
        <v>76</v>
      </c>
      <c r="D128" s="222">
        <v>200</v>
      </c>
      <c r="E128" s="222">
        <v>182</v>
      </c>
      <c r="F128" s="222">
        <v>1.5</v>
      </c>
      <c r="G128" s="223">
        <f t="shared" si="7"/>
        <v>9009</v>
      </c>
      <c r="H128" s="222">
        <v>0</v>
      </c>
      <c r="I128" s="223">
        <f t="shared" si="8"/>
        <v>0</v>
      </c>
      <c r="J128" s="222">
        <v>33</v>
      </c>
      <c r="K128" s="224" t="s">
        <v>54</v>
      </c>
      <c r="M128" s="210"/>
      <c r="N128" s="20"/>
      <c r="O128" s="20"/>
      <c r="P128" s="20"/>
      <c r="Q128" s="225"/>
      <c r="R128" s="20"/>
      <c r="S128" s="20"/>
      <c r="T128" s="20"/>
      <c r="U128" s="226"/>
      <c r="V128" s="227"/>
      <c r="W128" s="228"/>
      <c r="X128" s="20"/>
      <c r="Y128" s="20"/>
      <c r="Z128" s="20"/>
      <c r="AA128" s="20"/>
      <c r="AB128" s="20"/>
      <c r="AC128" s="20"/>
      <c r="AD128" s="20"/>
      <c r="AE128" s="20"/>
      <c r="AF128" s="20"/>
      <c r="AG128" s="20"/>
      <c r="AH128" s="20"/>
      <c r="AI128" s="20"/>
      <c r="AJ128" s="20"/>
      <c r="AK128" s="121"/>
    </row>
    <row r="129" spans="1:37" ht="110" x14ac:dyDescent="0.55000000000000004">
      <c r="A129" s="221" t="s">
        <v>50</v>
      </c>
      <c r="B129" s="222" t="s">
        <v>140</v>
      </c>
      <c r="C129" s="222" t="s">
        <v>52</v>
      </c>
      <c r="D129" s="222">
        <v>50</v>
      </c>
      <c r="E129" s="222">
        <v>55</v>
      </c>
      <c r="F129" s="222">
        <v>1.5</v>
      </c>
      <c r="G129" s="223">
        <f t="shared" si="7"/>
        <v>5032.5</v>
      </c>
      <c r="H129" s="222">
        <v>0</v>
      </c>
      <c r="I129" s="223">
        <f t="shared" si="8"/>
        <v>0</v>
      </c>
      <c r="J129" s="222">
        <v>61</v>
      </c>
      <c r="K129" s="224" t="s">
        <v>54</v>
      </c>
      <c r="M129" s="86"/>
      <c r="N129" s="20"/>
      <c r="O129" s="20"/>
      <c r="P129" s="20"/>
      <c r="Q129" s="225"/>
      <c r="R129" s="20"/>
      <c r="S129" s="20"/>
      <c r="T129" s="20"/>
      <c r="U129" s="54"/>
      <c r="V129" s="68"/>
      <c r="W129" s="69"/>
      <c r="X129" s="20"/>
      <c r="Y129" s="20"/>
      <c r="Z129" s="20"/>
      <c r="AA129" s="20"/>
      <c r="AB129" s="20"/>
      <c r="AC129" s="20"/>
      <c r="AD129" s="20"/>
      <c r="AE129" s="20"/>
      <c r="AF129" s="20"/>
      <c r="AG129" s="20"/>
      <c r="AH129" s="20"/>
      <c r="AI129" s="20"/>
      <c r="AJ129" s="20"/>
      <c r="AK129" s="121"/>
    </row>
    <row r="130" spans="1:37" ht="110" x14ac:dyDescent="0.55000000000000004">
      <c r="A130" s="221" t="s">
        <v>147</v>
      </c>
      <c r="B130" s="222" t="s">
        <v>140</v>
      </c>
      <c r="C130" s="222" t="s">
        <v>148</v>
      </c>
      <c r="D130" s="222">
        <v>0</v>
      </c>
      <c r="E130" s="222">
        <v>0</v>
      </c>
      <c r="F130" s="222">
        <v>0</v>
      </c>
      <c r="G130" s="223">
        <f t="shared" si="7"/>
        <v>0</v>
      </c>
      <c r="H130" s="222">
        <v>0</v>
      </c>
      <c r="I130" s="223">
        <f t="shared" si="8"/>
        <v>0</v>
      </c>
      <c r="J130" s="222">
        <v>0</v>
      </c>
      <c r="K130" s="224" t="s">
        <v>54</v>
      </c>
      <c r="M130" s="86"/>
      <c r="N130" s="20"/>
      <c r="O130" s="20"/>
      <c r="P130" s="20"/>
      <c r="Q130" s="225"/>
      <c r="R130" s="20"/>
      <c r="S130" s="20"/>
      <c r="T130" s="20"/>
      <c r="U130" s="78"/>
      <c r="V130" s="75"/>
      <c r="W130" s="77"/>
      <c r="X130" s="20"/>
      <c r="Y130" s="20"/>
      <c r="Z130" s="20"/>
      <c r="AA130" s="20"/>
      <c r="AB130" s="20"/>
      <c r="AC130" s="20"/>
      <c r="AD130" s="20"/>
      <c r="AE130" s="20"/>
      <c r="AF130" s="20"/>
      <c r="AG130" s="20"/>
      <c r="AH130" s="20"/>
      <c r="AI130" s="20"/>
      <c r="AJ130" s="20"/>
      <c r="AK130" s="121"/>
    </row>
    <row r="131" spans="1:37" ht="110.5" thickBot="1" x14ac:dyDescent="0.6">
      <c r="A131" s="221" t="s">
        <v>59</v>
      </c>
      <c r="B131" s="222" t="s">
        <v>140</v>
      </c>
      <c r="C131" s="222" t="s">
        <v>61</v>
      </c>
      <c r="D131" s="222">
        <v>32</v>
      </c>
      <c r="E131" s="222">
        <v>35</v>
      </c>
      <c r="F131" s="222">
        <v>0</v>
      </c>
      <c r="G131" s="223">
        <f t="shared" si="7"/>
        <v>0</v>
      </c>
      <c r="H131" s="222">
        <v>0</v>
      </c>
      <c r="I131" s="223">
        <f t="shared" si="8"/>
        <v>0</v>
      </c>
      <c r="J131" s="222">
        <v>0</v>
      </c>
      <c r="K131" s="224" t="s">
        <v>57</v>
      </c>
      <c r="M131" s="88"/>
      <c r="N131" s="127"/>
      <c r="O131" s="127"/>
      <c r="P131" s="127"/>
      <c r="Q131" s="127"/>
      <c r="R131" s="127"/>
      <c r="S131" s="127"/>
      <c r="T131" s="127"/>
      <c r="V131" s="127"/>
      <c r="W131" s="127"/>
      <c r="Y131" s="127"/>
      <c r="Z131" s="127"/>
      <c r="AA131" s="127"/>
      <c r="AB131" s="127"/>
      <c r="AC131" s="127"/>
      <c r="AD131" s="127"/>
      <c r="AE131" s="127"/>
      <c r="AF131" s="127"/>
      <c r="AG131" s="127"/>
      <c r="AH131" s="127"/>
      <c r="AI131" s="127"/>
      <c r="AJ131" s="127"/>
      <c r="AK131" s="128"/>
    </row>
    <row r="132" spans="1:37" ht="110.5" thickBot="1" x14ac:dyDescent="0.6">
      <c r="A132" s="221" t="s">
        <v>79</v>
      </c>
      <c r="B132" s="222" t="s">
        <v>140</v>
      </c>
      <c r="C132" s="222" t="s">
        <v>15</v>
      </c>
      <c r="D132" s="222">
        <v>12</v>
      </c>
      <c r="E132" s="222">
        <v>10.4</v>
      </c>
      <c r="F132" s="222">
        <v>0.28000000000000003</v>
      </c>
      <c r="G132" s="223">
        <f t="shared" si="7"/>
        <v>2548.0000000000005</v>
      </c>
      <c r="H132" s="222">
        <v>0</v>
      </c>
      <c r="I132" s="223">
        <f t="shared" si="8"/>
        <v>0</v>
      </c>
      <c r="J132" s="222">
        <v>875</v>
      </c>
      <c r="K132" s="224" t="s">
        <v>57</v>
      </c>
    </row>
    <row r="133" spans="1:37" ht="110" x14ac:dyDescent="0.55000000000000004">
      <c r="A133" s="221" t="s">
        <v>79</v>
      </c>
      <c r="B133" s="222" t="s">
        <v>140</v>
      </c>
      <c r="C133" s="222" t="s">
        <v>15</v>
      </c>
      <c r="D133" s="222">
        <v>13</v>
      </c>
      <c r="E133" s="222">
        <v>11.4</v>
      </c>
      <c r="F133" s="222">
        <v>0.28000000000000003</v>
      </c>
      <c r="G133" s="223">
        <f t="shared" si="7"/>
        <v>2793.0000000000005</v>
      </c>
      <c r="H133" s="222">
        <v>0</v>
      </c>
      <c r="I133" s="223">
        <f t="shared" si="8"/>
        <v>0</v>
      </c>
      <c r="J133" s="222">
        <v>875</v>
      </c>
      <c r="K133" s="224" t="s">
        <v>57</v>
      </c>
      <c r="N133" s="120"/>
      <c r="O133" s="229"/>
      <c r="P133" s="84"/>
      <c r="Q133" s="84"/>
      <c r="R133" s="84"/>
      <c r="S133" s="84"/>
      <c r="T133" s="84"/>
      <c r="U133" s="84"/>
      <c r="V133" s="84"/>
      <c r="W133" s="84"/>
      <c r="X133" s="84"/>
      <c r="Y133" s="84"/>
      <c r="Z133" s="84"/>
      <c r="AA133" s="84"/>
      <c r="AB133" s="84"/>
      <c r="AC133" s="84"/>
      <c r="AD133" s="84"/>
      <c r="AE133" s="84"/>
      <c r="AF133" s="85"/>
    </row>
    <row r="134" spans="1:37" ht="110.5" thickBot="1" x14ac:dyDescent="0.6">
      <c r="A134" s="221" t="s">
        <v>149</v>
      </c>
      <c r="B134" s="222" t="s">
        <v>140</v>
      </c>
      <c r="C134" s="222" t="s">
        <v>34</v>
      </c>
      <c r="D134" s="222">
        <v>12</v>
      </c>
      <c r="E134" s="222">
        <v>10</v>
      </c>
      <c r="F134" s="222">
        <v>0.41</v>
      </c>
      <c r="G134" s="223">
        <f t="shared" si="7"/>
        <v>2091</v>
      </c>
      <c r="H134" s="222">
        <v>1.6</v>
      </c>
      <c r="I134" s="223">
        <f t="shared" si="8"/>
        <v>8160</v>
      </c>
      <c r="J134" s="222">
        <v>510</v>
      </c>
      <c r="K134" s="224" t="s">
        <v>57</v>
      </c>
      <c r="N134" s="88"/>
      <c r="O134" s="230"/>
      <c r="P134" s="230"/>
      <c r="Q134" s="230"/>
      <c r="R134" s="230"/>
      <c r="S134" s="230"/>
      <c r="T134" s="230"/>
      <c r="U134" s="230"/>
      <c r="V134" s="230"/>
      <c r="W134" s="127"/>
      <c r="X134" s="127"/>
      <c r="Y134" s="127"/>
      <c r="Z134" s="127"/>
      <c r="AA134" s="127"/>
      <c r="AB134" s="127"/>
      <c r="AC134" s="127"/>
      <c r="AD134" s="127"/>
      <c r="AE134" s="127"/>
      <c r="AF134" s="128"/>
    </row>
    <row r="135" spans="1:37" ht="110" x14ac:dyDescent="0.55000000000000004">
      <c r="A135" s="221" t="s">
        <v>78</v>
      </c>
      <c r="B135" s="222" t="s">
        <v>140</v>
      </c>
      <c r="C135" s="222" t="s">
        <v>26</v>
      </c>
      <c r="D135" s="222">
        <v>28</v>
      </c>
      <c r="E135" s="222">
        <v>31</v>
      </c>
      <c r="F135" s="222">
        <v>0.09</v>
      </c>
      <c r="G135" s="223">
        <f t="shared" si="7"/>
        <v>1322.46</v>
      </c>
      <c r="H135" s="222">
        <v>1.6</v>
      </c>
      <c r="I135" s="223">
        <f t="shared" si="8"/>
        <v>23510.400000000001</v>
      </c>
      <c r="J135" s="222">
        <v>474</v>
      </c>
      <c r="K135" s="224" t="s">
        <v>57</v>
      </c>
    </row>
    <row r="136" spans="1:37" ht="110" x14ac:dyDescent="0.55000000000000004">
      <c r="A136" s="206" t="s">
        <v>50</v>
      </c>
      <c r="B136" s="205" t="s">
        <v>51</v>
      </c>
      <c r="C136" s="205" t="s">
        <v>52</v>
      </c>
      <c r="D136" s="205">
        <v>250</v>
      </c>
      <c r="E136" s="205">
        <v>0</v>
      </c>
      <c r="F136" s="205">
        <v>1.5</v>
      </c>
      <c r="G136" s="202">
        <f t="shared" si="7"/>
        <v>0</v>
      </c>
      <c r="H136" s="205">
        <v>0</v>
      </c>
      <c r="I136" s="202">
        <f t="shared" si="8"/>
        <v>0</v>
      </c>
      <c r="J136" s="205">
        <v>61</v>
      </c>
      <c r="K136" s="207" t="s">
        <v>54</v>
      </c>
    </row>
    <row r="137" spans="1:37" ht="110" x14ac:dyDescent="0.55000000000000004">
      <c r="A137" s="206" t="s">
        <v>55</v>
      </c>
      <c r="B137" s="205" t="s">
        <v>51</v>
      </c>
      <c r="C137" s="205" t="s">
        <v>56</v>
      </c>
      <c r="D137" s="205">
        <v>70</v>
      </c>
      <c r="E137" s="205">
        <v>0</v>
      </c>
      <c r="F137" s="205">
        <v>0.12</v>
      </c>
      <c r="G137" s="202">
        <f t="shared" ref="G137:G168" si="9">(E137*J137)*F137</f>
        <v>0</v>
      </c>
      <c r="H137" s="205">
        <v>0</v>
      </c>
      <c r="I137" s="202">
        <f t="shared" ref="I137:I168" si="10">(E137*J137)*H137</f>
        <v>0</v>
      </c>
      <c r="J137" s="205">
        <v>2325</v>
      </c>
      <c r="K137" s="207" t="s">
        <v>57</v>
      </c>
    </row>
    <row r="138" spans="1:37" ht="110" x14ac:dyDescent="0.55000000000000004">
      <c r="A138" s="206" t="s">
        <v>58</v>
      </c>
      <c r="B138" s="205" t="s">
        <v>51</v>
      </c>
      <c r="C138" s="205" t="s">
        <v>32</v>
      </c>
      <c r="D138" s="205">
        <v>150</v>
      </c>
      <c r="E138" s="205">
        <v>0</v>
      </c>
      <c r="F138" s="205">
        <v>0.19</v>
      </c>
      <c r="G138" s="202">
        <f t="shared" si="9"/>
        <v>0</v>
      </c>
      <c r="H138" s="205">
        <v>0</v>
      </c>
      <c r="I138" s="202">
        <f t="shared" si="10"/>
        <v>0</v>
      </c>
      <c r="J138" s="205">
        <v>2400</v>
      </c>
      <c r="K138" s="207" t="s">
        <v>54</v>
      </c>
    </row>
    <row r="139" spans="1:37" ht="110" x14ac:dyDescent="0.55000000000000004">
      <c r="A139" s="206" t="s">
        <v>50</v>
      </c>
      <c r="B139" s="205" t="s">
        <v>88</v>
      </c>
      <c r="C139" s="205" t="s">
        <v>52</v>
      </c>
      <c r="D139" s="205">
        <v>140</v>
      </c>
      <c r="E139" s="205">
        <v>8.1999999999999993</v>
      </c>
      <c r="F139" s="205">
        <v>1.5</v>
      </c>
      <c r="G139" s="202">
        <f t="shared" si="9"/>
        <v>750.3</v>
      </c>
      <c r="H139" s="205">
        <v>0</v>
      </c>
      <c r="I139" s="202">
        <f t="shared" si="10"/>
        <v>0</v>
      </c>
      <c r="J139" s="205">
        <v>61</v>
      </c>
      <c r="K139" s="207" t="s">
        <v>54</v>
      </c>
    </row>
    <row r="140" spans="1:37" ht="110" x14ac:dyDescent="0.55000000000000004">
      <c r="A140" s="206" t="s">
        <v>55</v>
      </c>
      <c r="B140" s="205" t="s">
        <v>88</v>
      </c>
      <c r="C140" s="205" t="s">
        <v>56</v>
      </c>
      <c r="D140" s="205">
        <v>100</v>
      </c>
      <c r="E140" s="205">
        <v>5.9</v>
      </c>
      <c r="F140" s="205">
        <v>0.12</v>
      </c>
      <c r="G140" s="202">
        <f t="shared" si="9"/>
        <v>1646.1</v>
      </c>
      <c r="H140" s="205">
        <v>0</v>
      </c>
      <c r="I140" s="202">
        <f t="shared" si="10"/>
        <v>0</v>
      </c>
      <c r="J140" s="205">
        <v>2325</v>
      </c>
      <c r="K140" s="207" t="s">
        <v>57</v>
      </c>
    </row>
    <row r="141" spans="1:37" ht="110" x14ac:dyDescent="0.55000000000000004">
      <c r="A141" s="206" t="s">
        <v>58</v>
      </c>
      <c r="B141" s="205" t="s">
        <v>88</v>
      </c>
      <c r="C141" s="205" t="s">
        <v>32</v>
      </c>
      <c r="D141" s="205">
        <v>300</v>
      </c>
      <c r="E141" s="205">
        <v>16.8</v>
      </c>
      <c r="F141" s="205">
        <v>0.19</v>
      </c>
      <c r="G141" s="202">
        <f t="shared" si="9"/>
        <v>7660.8</v>
      </c>
      <c r="H141" s="205">
        <v>0</v>
      </c>
      <c r="I141" s="202">
        <f t="shared" si="10"/>
        <v>0</v>
      </c>
      <c r="J141" s="205">
        <v>2400</v>
      </c>
      <c r="K141" s="207" t="s">
        <v>54</v>
      </c>
    </row>
    <row r="142" spans="1:37" ht="55" x14ac:dyDescent="0.55000000000000004">
      <c r="A142" s="206" t="s">
        <v>90</v>
      </c>
      <c r="B142" s="205" t="s">
        <v>91</v>
      </c>
      <c r="C142" s="205" t="s">
        <v>22</v>
      </c>
      <c r="D142" s="205">
        <v>25</v>
      </c>
      <c r="E142" s="205">
        <v>14.8</v>
      </c>
      <c r="F142" s="205">
        <v>0.09</v>
      </c>
      <c r="G142" s="202">
        <f t="shared" si="9"/>
        <v>631.36800000000005</v>
      </c>
      <c r="H142" s="205">
        <v>1.6</v>
      </c>
      <c r="I142" s="202">
        <f t="shared" si="10"/>
        <v>11224.320000000002</v>
      </c>
      <c r="J142" s="205">
        <v>474</v>
      </c>
      <c r="K142" s="207" t="s">
        <v>54</v>
      </c>
    </row>
    <row r="143" spans="1:37" ht="55" x14ac:dyDescent="0.55000000000000004">
      <c r="A143" s="206" t="s">
        <v>94</v>
      </c>
      <c r="B143" s="205" t="s">
        <v>91</v>
      </c>
      <c r="C143" s="205" t="s">
        <v>28</v>
      </c>
      <c r="D143" s="205">
        <v>2</v>
      </c>
      <c r="E143" s="205">
        <v>1.2</v>
      </c>
      <c r="F143" s="205">
        <v>3.1</v>
      </c>
      <c r="G143" s="202">
        <f t="shared" si="9"/>
        <v>29202</v>
      </c>
      <c r="H143" s="205">
        <v>1.5</v>
      </c>
      <c r="I143" s="202">
        <f t="shared" si="10"/>
        <v>14130</v>
      </c>
      <c r="J143" s="205">
        <v>7850</v>
      </c>
      <c r="K143" s="207" t="s">
        <v>54</v>
      </c>
    </row>
    <row r="144" spans="1:37" ht="55" x14ac:dyDescent="0.55000000000000004">
      <c r="A144" s="206" t="s">
        <v>95</v>
      </c>
      <c r="B144" s="205" t="s">
        <v>146</v>
      </c>
      <c r="C144" s="205" t="s">
        <v>31</v>
      </c>
      <c r="D144" s="205">
        <v>270</v>
      </c>
      <c r="E144" s="205">
        <v>88.3</v>
      </c>
      <c r="F144" s="205">
        <v>0.17</v>
      </c>
      <c r="G144" s="202">
        <f t="shared" si="9"/>
        <v>21165.510000000002</v>
      </c>
      <c r="H144" s="205">
        <v>0</v>
      </c>
      <c r="I144" s="202">
        <f t="shared" si="10"/>
        <v>0</v>
      </c>
      <c r="J144" s="205">
        <v>1410</v>
      </c>
      <c r="K144" s="207" t="s">
        <v>57</v>
      </c>
    </row>
    <row r="145" spans="1:26" ht="55.5" thickBot="1" x14ac:dyDescent="0.6">
      <c r="A145" s="206" t="s">
        <v>101</v>
      </c>
      <c r="B145" s="205" t="s">
        <v>150</v>
      </c>
      <c r="C145" s="205" t="s">
        <v>4</v>
      </c>
      <c r="D145" s="205">
        <v>300</v>
      </c>
      <c r="E145" s="205">
        <v>16.600000000000001</v>
      </c>
      <c r="F145" s="205">
        <v>0.12</v>
      </c>
      <c r="G145" s="202">
        <f t="shared" si="9"/>
        <v>4631.3999999999996</v>
      </c>
      <c r="H145" s="205">
        <v>0</v>
      </c>
      <c r="I145" s="202">
        <f t="shared" si="10"/>
        <v>0</v>
      </c>
      <c r="J145" s="205">
        <v>2325</v>
      </c>
      <c r="K145" s="207" t="s">
        <v>57</v>
      </c>
    </row>
    <row r="146" spans="1:26" ht="82.5" x14ac:dyDescent="0.55000000000000004">
      <c r="A146" s="221" t="s">
        <v>50</v>
      </c>
      <c r="B146" s="222" t="s">
        <v>68</v>
      </c>
      <c r="C146" s="222" t="s">
        <v>52</v>
      </c>
      <c r="D146" s="222">
        <v>30</v>
      </c>
      <c r="E146" s="222">
        <v>58.5</v>
      </c>
      <c r="F146" s="222">
        <v>1.5</v>
      </c>
      <c r="G146" s="223">
        <f t="shared" si="9"/>
        <v>5352.75</v>
      </c>
      <c r="H146" s="222">
        <v>0</v>
      </c>
      <c r="I146" s="223">
        <f t="shared" si="10"/>
        <v>0</v>
      </c>
      <c r="J146" s="222">
        <v>61</v>
      </c>
      <c r="K146" s="224" t="s">
        <v>57</v>
      </c>
      <c r="M146" s="120"/>
      <c r="N146" s="85"/>
    </row>
    <row r="147" spans="1:26" ht="82.5" x14ac:dyDescent="0.55000000000000004">
      <c r="A147" s="221" t="s">
        <v>50</v>
      </c>
      <c r="B147" s="222" t="s">
        <v>68</v>
      </c>
      <c r="C147" s="222" t="s">
        <v>52</v>
      </c>
      <c r="D147" s="222">
        <v>100</v>
      </c>
      <c r="E147" s="222">
        <v>162.69999999999999</v>
      </c>
      <c r="F147" s="222">
        <v>1.5</v>
      </c>
      <c r="G147" s="223">
        <f t="shared" si="9"/>
        <v>14887.05</v>
      </c>
      <c r="H147" s="222">
        <v>0</v>
      </c>
      <c r="I147" s="223">
        <f t="shared" si="10"/>
        <v>0</v>
      </c>
      <c r="J147" s="222">
        <v>61</v>
      </c>
      <c r="K147" s="224" t="s">
        <v>54</v>
      </c>
      <c r="M147" s="86"/>
      <c r="N147" s="121"/>
    </row>
    <row r="148" spans="1:26" ht="82.5" x14ac:dyDescent="0.55000000000000004">
      <c r="A148" s="221" t="s">
        <v>144</v>
      </c>
      <c r="B148" s="222" t="s">
        <v>68</v>
      </c>
      <c r="C148" s="222" t="s">
        <v>14</v>
      </c>
      <c r="D148" s="222">
        <v>0</v>
      </c>
      <c r="E148" s="222">
        <v>0</v>
      </c>
      <c r="F148" s="222">
        <v>3.1</v>
      </c>
      <c r="G148" s="223">
        <f t="shared" si="9"/>
        <v>0</v>
      </c>
      <c r="H148" s="222">
        <v>0</v>
      </c>
      <c r="I148" s="223">
        <f t="shared" si="10"/>
        <v>0</v>
      </c>
      <c r="J148" s="222">
        <v>925</v>
      </c>
      <c r="K148" s="224" t="s">
        <v>54</v>
      </c>
      <c r="M148" s="86"/>
      <c r="N148" s="121"/>
    </row>
    <row r="149" spans="1:26" ht="82.5" x14ac:dyDescent="0.55000000000000004">
      <c r="A149" s="221" t="s">
        <v>59</v>
      </c>
      <c r="B149" s="222" t="s">
        <v>68</v>
      </c>
      <c r="C149" s="222" t="s">
        <v>61</v>
      </c>
      <c r="D149" s="222">
        <v>200</v>
      </c>
      <c r="E149" s="222">
        <v>320</v>
      </c>
      <c r="F149" s="222">
        <v>0</v>
      </c>
      <c r="G149" s="223">
        <f t="shared" si="9"/>
        <v>0</v>
      </c>
      <c r="H149" s="222">
        <v>0</v>
      </c>
      <c r="I149" s="223">
        <f t="shared" si="10"/>
        <v>0</v>
      </c>
      <c r="J149" s="222">
        <v>0</v>
      </c>
      <c r="K149" s="224" t="s">
        <v>54</v>
      </c>
      <c r="M149" s="86"/>
      <c r="N149" s="121"/>
    </row>
    <row r="150" spans="1:26" ht="82.5" x14ac:dyDescent="0.55000000000000004">
      <c r="A150" s="221" t="s">
        <v>79</v>
      </c>
      <c r="B150" s="222" t="s">
        <v>68</v>
      </c>
      <c r="C150" s="222" t="s">
        <v>15</v>
      </c>
      <c r="D150" s="222">
        <v>25</v>
      </c>
      <c r="E150" s="222">
        <v>47.1</v>
      </c>
      <c r="F150" s="222">
        <v>0.28000000000000003</v>
      </c>
      <c r="G150" s="223">
        <f t="shared" si="9"/>
        <v>11539.500000000002</v>
      </c>
      <c r="H150" s="222">
        <v>0</v>
      </c>
      <c r="I150" s="223">
        <f t="shared" si="10"/>
        <v>0</v>
      </c>
      <c r="J150" s="222">
        <v>875</v>
      </c>
      <c r="K150" s="224" t="s">
        <v>54</v>
      </c>
      <c r="M150" s="86"/>
      <c r="N150" s="121"/>
    </row>
    <row r="151" spans="1:26" ht="83" thickBot="1" x14ac:dyDescent="0.6">
      <c r="A151" s="221" t="s">
        <v>149</v>
      </c>
      <c r="B151" s="222" t="s">
        <v>68</v>
      </c>
      <c r="C151" s="222" t="s">
        <v>34</v>
      </c>
      <c r="D151" s="222">
        <v>18</v>
      </c>
      <c r="E151" s="222">
        <v>35.200000000000003</v>
      </c>
      <c r="F151" s="222">
        <v>0.41</v>
      </c>
      <c r="G151" s="223">
        <f t="shared" si="9"/>
        <v>7360.32</v>
      </c>
      <c r="H151" s="222">
        <v>1.6</v>
      </c>
      <c r="I151" s="223">
        <f t="shared" si="10"/>
        <v>28723.200000000001</v>
      </c>
      <c r="J151" s="222">
        <v>510</v>
      </c>
      <c r="K151" s="224" t="s">
        <v>57</v>
      </c>
      <c r="M151" s="88"/>
      <c r="N151" s="128"/>
    </row>
    <row r="152" spans="1:26" ht="82.5" x14ac:dyDescent="0.55000000000000004">
      <c r="A152" s="221" t="s">
        <v>101</v>
      </c>
      <c r="B152" s="222" t="s">
        <v>68</v>
      </c>
      <c r="C152" s="222" t="s">
        <v>4</v>
      </c>
      <c r="D152" s="222">
        <v>40</v>
      </c>
      <c r="E152" s="222">
        <v>77.5</v>
      </c>
      <c r="F152" s="222">
        <v>0.12</v>
      </c>
      <c r="G152" s="223">
        <f t="shared" si="9"/>
        <v>21622.5</v>
      </c>
      <c r="H152" s="222">
        <v>0</v>
      </c>
      <c r="I152" s="223">
        <f t="shared" si="10"/>
        <v>0</v>
      </c>
      <c r="J152" s="222">
        <v>2325</v>
      </c>
      <c r="K152" s="224" t="s">
        <v>57</v>
      </c>
      <c r="M152" s="120"/>
      <c r="N152" s="85"/>
    </row>
    <row r="153" spans="1:26" ht="83" thickBot="1" x14ac:dyDescent="0.6">
      <c r="A153" s="221" t="s">
        <v>64</v>
      </c>
      <c r="B153" s="222" t="s">
        <v>68</v>
      </c>
      <c r="C153" s="222" t="s">
        <v>66</v>
      </c>
      <c r="D153" s="222">
        <v>23</v>
      </c>
      <c r="E153" s="222">
        <v>45.4</v>
      </c>
      <c r="F153" s="222">
        <v>0</v>
      </c>
      <c r="G153" s="223">
        <f t="shared" si="9"/>
        <v>0</v>
      </c>
      <c r="H153" s="222">
        <v>0</v>
      </c>
      <c r="I153" s="223">
        <f t="shared" si="10"/>
        <v>0</v>
      </c>
      <c r="J153" s="222">
        <v>0</v>
      </c>
      <c r="K153" s="224" t="s">
        <v>54</v>
      </c>
      <c r="M153" s="88"/>
      <c r="N153" s="128"/>
    </row>
    <row r="154" spans="1:26" ht="55.5" thickBot="1" x14ac:dyDescent="0.6">
      <c r="A154" s="206" t="s">
        <v>95</v>
      </c>
      <c r="B154" s="205" t="s">
        <v>104</v>
      </c>
      <c r="C154" s="205" t="s">
        <v>30</v>
      </c>
      <c r="D154" s="205">
        <v>200</v>
      </c>
      <c r="E154" s="205">
        <v>16.3</v>
      </c>
      <c r="F154" s="205">
        <v>0.14000000000000001</v>
      </c>
      <c r="G154" s="202">
        <f t="shared" si="9"/>
        <v>5476.8</v>
      </c>
      <c r="H154" s="205">
        <v>0</v>
      </c>
      <c r="I154" s="202">
        <f t="shared" si="10"/>
        <v>0</v>
      </c>
      <c r="J154" s="205">
        <v>2400</v>
      </c>
      <c r="K154" s="207" t="s">
        <v>54</v>
      </c>
    </row>
    <row r="155" spans="1:26" ht="55.5" thickBot="1" x14ac:dyDescent="0.65">
      <c r="A155" s="206" t="s">
        <v>95</v>
      </c>
      <c r="B155" s="205" t="s">
        <v>96</v>
      </c>
      <c r="C155" s="205" t="s">
        <v>30</v>
      </c>
      <c r="D155" s="205">
        <v>300</v>
      </c>
      <c r="E155" s="205">
        <v>3.8</v>
      </c>
      <c r="F155" s="205">
        <v>0.14000000000000001</v>
      </c>
      <c r="G155" s="202">
        <f t="shared" si="9"/>
        <v>1276.8000000000002</v>
      </c>
      <c r="H155" s="205">
        <v>0</v>
      </c>
      <c r="I155" s="202">
        <f t="shared" si="10"/>
        <v>0</v>
      </c>
      <c r="J155" s="205">
        <v>2400</v>
      </c>
      <c r="K155" s="207" t="s">
        <v>54</v>
      </c>
      <c r="L155" s="231" t="s">
        <v>238</v>
      </c>
      <c r="M155" s="84"/>
      <c r="N155" s="84"/>
      <c r="O155" s="20"/>
      <c r="P155" s="84"/>
      <c r="Q155" s="84"/>
      <c r="R155" s="84"/>
      <c r="S155" s="84"/>
      <c r="T155" s="84"/>
      <c r="U155" s="232"/>
      <c r="V155" s="233"/>
      <c r="W155" s="84"/>
      <c r="X155" s="84"/>
      <c r="Y155" s="84"/>
      <c r="Z155" s="85"/>
    </row>
    <row r="156" spans="1:26" ht="110" x14ac:dyDescent="0.55000000000000004">
      <c r="A156" s="221" t="s">
        <v>75</v>
      </c>
      <c r="B156" s="222" t="s">
        <v>139</v>
      </c>
      <c r="C156" s="222" t="s">
        <v>76</v>
      </c>
      <c r="D156" s="222">
        <v>98</v>
      </c>
      <c r="E156" s="222">
        <v>167</v>
      </c>
      <c r="F156" s="222">
        <v>1.5</v>
      </c>
      <c r="G156" s="223">
        <f t="shared" si="9"/>
        <v>8266.5</v>
      </c>
      <c r="H156" s="222">
        <v>0</v>
      </c>
      <c r="I156" s="223">
        <f t="shared" si="10"/>
        <v>0</v>
      </c>
      <c r="J156" s="222">
        <v>33</v>
      </c>
      <c r="K156" s="224" t="s">
        <v>54</v>
      </c>
      <c r="L156" s="86" t="s">
        <v>194</v>
      </c>
      <c r="M156" s="20"/>
      <c r="O156" s="20"/>
      <c r="P156" s="20"/>
      <c r="Q156" s="20"/>
      <c r="R156" s="120"/>
      <c r="S156" s="84"/>
      <c r="T156" s="84"/>
      <c r="U156" s="84"/>
      <c r="V156" s="85"/>
      <c r="W156" s="20"/>
      <c r="X156" s="20"/>
      <c r="Y156" s="20"/>
      <c r="Z156" s="121"/>
    </row>
    <row r="157" spans="1:26" ht="110" x14ac:dyDescent="0.55000000000000004">
      <c r="A157" s="221" t="s">
        <v>79</v>
      </c>
      <c r="B157" s="222" t="s">
        <v>139</v>
      </c>
      <c r="C157" s="222" t="s">
        <v>15</v>
      </c>
      <c r="D157" s="222">
        <v>12</v>
      </c>
      <c r="E157" s="222">
        <v>19.8</v>
      </c>
      <c r="F157" s="222">
        <v>0.28000000000000003</v>
      </c>
      <c r="G157" s="223">
        <f t="shared" si="9"/>
        <v>4851.0000000000009</v>
      </c>
      <c r="H157" s="222">
        <v>0</v>
      </c>
      <c r="I157" s="223">
        <f t="shared" si="10"/>
        <v>0</v>
      </c>
      <c r="J157" s="222">
        <v>875</v>
      </c>
      <c r="K157" s="224" t="s">
        <v>57</v>
      </c>
      <c r="L157" s="86">
        <f>G156+G160+G161+G165+G166+G170+G172+G177+G182</f>
        <v>20937.599999999999</v>
      </c>
      <c r="M157" s="20"/>
      <c r="N157" s="20"/>
      <c r="O157" s="20"/>
      <c r="P157" s="20"/>
      <c r="Q157" s="20"/>
      <c r="R157" s="86"/>
      <c r="S157" s="20"/>
      <c r="T157" s="20"/>
      <c r="U157" s="20"/>
      <c r="V157" s="121"/>
      <c r="W157" s="20"/>
      <c r="X157" s="20"/>
      <c r="Y157" s="20"/>
      <c r="Z157" s="121"/>
    </row>
    <row r="158" spans="1:26" ht="110" x14ac:dyDescent="0.55000000000000004">
      <c r="A158" s="221" t="s">
        <v>79</v>
      </c>
      <c r="B158" s="222" t="s">
        <v>139</v>
      </c>
      <c r="C158" s="222" t="s">
        <v>15</v>
      </c>
      <c r="D158" s="222">
        <v>13</v>
      </c>
      <c r="E158" s="222">
        <v>23.6</v>
      </c>
      <c r="F158" s="222">
        <v>0.28000000000000003</v>
      </c>
      <c r="G158" s="223">
        <f t="shared" si="9"/>
        <v>5782.0000000000009</v>
      </c>
      <c r="H158" s="222">
        <v>0</v>
      </c>
      <c r="I158" s="223">
        <f t="shared" si="10"/>
        <v>0</v>
      </c>
      <c r="J158" s="222">
        <v>875</v>
      </c>
      <c r="K158" s="224" t="s">
        <v>57</v>
      </c>
      <c r="L158" s="86" t="s">
        <v>198</v>
      </c>
      <c r="M158" s="20"/>
      <c r="N158" s="20"/>
      <c r="O158" s="20"/>
      <c r="P158" s="20"/>
      <c r="Q158" s="20"/>
      <c r="R158" s="86"/>
      <c r="S158" s="20"/>
      <c r="T158" s="20"/>
      <c r="U158" s="20"/>
      <c r="V158" s="121"/>
      <c r="W158" s="20"/>
      <c r="X158" s="20"/>
      <c r="Y158" s="20"/>
      <c r="Z158" s="121"/>
    </row>
    <row r="159" spans="1:26" ht="110" x14ac:dyDescent="0.55000000000000004">
      <c r="A159" s="221" t="s">
        <v>64</v>
      </c>
      <c r="B159" s="222" t="s">
        <v>139</v>
      </c>
      <c r="C159" s="222" t="s">
        <v>66</v>
      </c>
      <c r="D159" s="222">
        <v>30</v>
      </c>
      <c r="E159" s="222">
        <v>26.8</v>
      </c>
      <c r="F159" s="222">
        <v>0</v>
      </c>
      <c r="G159" s="223">
        <f t="shared" si="9"/>
        <v>0</v>
      </c>
      <c r="H159" s="222">
        <v>0</v>
      </c>
      <c r="I159" s="223">
        <f t="shared" si="10"/>
        <v>0</v>
      </c>
      <c r="J159" s="222">
        <v>0</v>
      </c>
      <c r="K159" s="224" t="s">
        <v>54</v>
      </c>
      <c r="L159" s="86">
        <f>G157+G158+G163+G164+G168+G169+G171+G173+G175+G180+G183+G184+G181+G174</f>
        <v>26166.000000000004</v>
      </c>
      <c r="M159" s="20"/>
      <c r="N159" s="20"/>
      <c r="O159" s="20"/>
      <c r="P159" s="20"/>
      <c r="Q159" s="20"/>
      <c r="R159" s="234"/>
      <c r="S159" s="20"/>
      <c r="T159" s="20"/>
      <c r="U159" s="20"/>
      <c r="V159" s="121"/>
      <c r="W159" s="20"/>
      <c r="X159" s="20"/>
      <c r="Y159" s="20"/>
      <c r="Z159" s="121"/>
    </row>
    <row r="160" spans="1:26" ht="165.5" thickBot="1" x14ac:dyDescent="0.6">
      <c r="A160" s="221" t="s">
        <v>75</v>
      </c>
      <c r="B160" s="222" t="s">
        <v>63</v>
      </c>
      <c r="C160" s="222" t="s">
        <v>76</v>
      </c>
      <c r="D160" s="222">
        <v>98</v>
      </c>
      <c r="E160" s="222">
        <v>1.7</v>
      </c>
      <c r="F160" s="222">
        <v>1.5</v>
      </c>
      <c r="G160" s="223">
        <f t="shared" si="9"/>
        <v>84.15</v>
      </c>
      <c r="H160" s="222">
        <v>0</v>
      </c>
      <c r="I160" s="223">
        <f t="shared" si="10"/>
        <v>0</v>
      </c>
      <c r="J160" s="222">
        <v>33</v>
      </c>
      <c r="K160" s="224" t="s">
        <v>54</v>
      </c>
      <c r="L160" s="88"/>
      <c r="M160" s="127"/>
      <c r="N160" s="127"/>
      <c r="O160" s="20"/>
      <c r="P160" s="20"/>
      <c r="Q160" s="20"/>
      <c r="R160" s="86"/>
      <c r="S160" s="20"/>
      <c r="T160" s="127"/>
      <c r="U160" s="127"/>
      <c r="V160" s="128"/>
      <c r="W160" s="127"/>
      <c r="X160" s="127"/>
      <c r="Y160" s="127"/>
      <c r="Z160" s="128"/>
    </row>
    <row r="161" spans="1:22" ht="165" x14ac:dyDescent="0.55000000000000004">
      <c r="A161" s="221" t="s">
        <v>50</v>
      </c>
      <c r="B161" s="222" t="s">
        <v>63</v>
      </c>
      <c r="C161" s="222" t="s">
        <v>52</v>
      </c>
      <c r="D161" s="222">
        <v>68</v>
      </c>
      <c r="E161" s="222">
        <v>1.5</v>
      </c>
      <c r="F161" s="222">
        <v>1.5</v>
      </c>
      <c r="G161" s="223">
        <f t="shared" si="9"/>
        <v>137.25</v>
      </c>
      <c r="H161" s="222">
        <v>0</v>
      </c>
      <c r="I161" s="223">
        <f t="shared" si="10"/>
        <v>0</v>
      </c>
      <c r="J161" s="222">
        <v>61</v>
      </c>
      <c r="K161" s="224" t="s">
        <v>54</v>
      </c>
      <c r="O161" s="234"/>
      <c r="P161" s="20"/>
      <c r="Q161" s="20"/>
      <c r="R161" s="33"/>
      <c r="S161" s="20"/>
      <c r="T161" s="20"/>
      <c r="U161" s="20"/>
      <c r="V161" s="121"/>
    </row>
    <row r="162" spans="1:22" ht="165" x14ac:dyDescent="0.55000000000000004">
      <c r="A162" s="221" t="s">
        <v>59</v>
      </c>
      <c r="B162" s="222" t="s">
        <v>63</v>
      </c>
      <c r="C162" s="222" t="s">
        <v>61</v>
      </c>
      <c r="D162" s="222">
        <v>20</v>
      </c>
      <c r="E162" s="222">
        <v>0.5</v>
      </c>
      <c r="F162" s="222">
        <v>0</v>
      </c>
      <c r="G162" s="223">
        <f t="shared" si="9"/>
        <v>0</v>
      </c>
      <c r="H162" s="222">
        <v>0</v>
      </c>
      <c r="I162" s="223">
        <f t="shared" si="10"/>
        <v>0</v>
      </c>
      <c r="J162" s="222">
        <v>0</v>
      </c>
      <c r="K162" s="224" t="s">
        <v>54</v>
      </c>
      <c r="O162" s="234"/>
      <c r="P162" s="20"/>
      <c r="Q162" s="20"/>
      <c r="R162" s="33"/>
      <c r="S162" s="20"/>
      <c r="T162" s="20"/>
      <c r="U162" s="20"/>
      <c r="V162" s="121"/>
    </row>
    <row r="163" spans="1:22" ht="165" x14ac:dyDescent="0.55000000000000004">
      <c r="A163" s="221" t="s">
        <v>79</v>
      </c>
      <c r="B163" s="222" t="s">
        <v>63</v>
      </c>
      <c r="C163" s="222" t="s">
        <v>15</v>
      </c>
      <c r="D163" s="222">
        <v>12</v>
      </c>
      <c r="E163" s="222">
        <v>0</v>
      </c>
      <c r="F163" s="222">
        <v>0.28000000000000003</v>
      </c>
      <c r="G163" s="223">
        <f t="shared" si="9"/>
        <v>0</v>
      </c>
      <c r="H163" s="222">
        <v>0</v>
      </c>
      <c r="I163" s="223">
        <f t="shared" si="10"/>
        <v>0</v>
      </c>
      <c r="J163" s="222">
        <v>875</v>
      </c>
      <c r="K163" s="224" t="s">
        <v>57</v>
      </c>
      <c r="O163" s="234"/>
      <c r="P163" s="20"/>
      <c r="Q163" s="20"/>
      <c r="R163" s="33"/>
      <c r="S163" s="20"/>
      <c r="T163" s="20"/>
      <c r="U163" s="20"/>
      <c r="V163" s="121"/>
    </row>
    <row r="164" spans="1:22" ht="165.5" thickBot="1" x14ac:dyDescent="0.6">
      <c r="A164" s="221" t="s">
        <v>79</v>
      </c>
      <c r="B164" s="222" t="s">
        <v>63</v>
      </c>
      <c r="C164" s="222" t="s">
        <v>15</v>
      </c>
      <c r="D164" s="222">
        <v>13</v>
      </c>
      <c r="E164" s="222">
        <v>0</v>
      </c>
      <c r="F164" s="222">
        <v>0.28000000000000003</v>
      </c>
      <c r="G164" s="223">
        <f t="shared" si="9"/>
        <v>0</v>
      </c>
      <c r="H164" s="222">
        <v>0</v>
      </c>
      <c r="I164" s="223">
        <f t="shared" si="10"/>
        <v>0</v>
      </c>
      <c r="J164" s="222">
        <v>875</v>
      </c>
      <c r="K164" s="224" t="s">
        <v>57</v>
      </c>
      <c r="O164" s="234"/>
      <c r="P164" s="20"/>
      <c r="Q164" s="20"/>
      <c r="R164" s="127"/>
      <c r="S164" s="127"/>
      <c r="T164" s="127"/>
      <c r="U164" s="127"/>
      <c r="V164" s="128"/>
    </row>
    <row r="165" spans="1:22" ht="192.5" x14ac:dyDescent="0.55000000000000004">
      <c r="A165" s="221" t="s">
        <v>75</v>
      </c>
      <c r="B165" s="222" t="s">
        <v>141</v>
      </c>
      <c r="C165" s="222" t="s">
        <v>76</v>
      </c>
      <c r="D165" s="222">
        <v>98</v>
      </c>
      <c r="E165" s="222">
        <v>21.1</v>
      </c>
      <c r="F165" s="222">
        <v>1.5</v>
      </c>
      <c r="G165" s="223">
        <f t="shared" si="9"/>
        <v>1044.45</v>
      </c>
      <c r="H165" s="222">
        <v>0</v>
      </c>
      <c r="I165" s="223">
        <f t="shared" si="10"/>
        <v>0</v>
      </c>
      <c r="J165" s="222">
        <v>33</v>
      </c>
      <c r="K165" s="224" t="s">
        <v>54</v>
      </c>
      <c r="O165" s="234"/>
      <c r="P165" s="20"/>
      <c r="Q165" s="121"/>
    </row>
    <row r="166" spans="1:22" ht="193" thickBot="1" x14ac:dyDescent="0.6">
      <c r="A166" s="221" t="s">
        <v>50</v>
      </c>
      <c r="B166" s="222" t="s">
        <v>141</v>
      </c>
      <c r="C166" s="222" t="s">
        <v>52</v>
      </c>
      <c r="D166" s="222">
        <v>98</v>
      </c>
      <c r="E166" s="222">
        <v>20.5</v>
      </c>
      <c r="F166" s="222">
        <v>1.5</v>
      </c>
      <c r="G166" s="223">
        <f t="shared" si="9"/>
        <v>1875.75</v>
      </c>
      <c r="H166" s="222">
        <v>0</v>
      </c>
      <c r="I166" s="223">
        <f t="shared" si="10"/>
        <v>0</v>
      </c>
      <c r="J166" s="222">
        <v>61</v>
      </c>
      <c r="K166" s="224" t="s">
        <v>54</v>
      </c>
      <c r="O166" s="88"/>
      <c r="P166" s="127"/>
      <c r="Q166" s="128"/>
    </row>
    <row r="167" spans="1:22" ht="192.5" x14ac:dyDescent="0.55000000000000004">
      <c r="A167" s="221" t="s">
        <v>59</v>
      </c>
      <c r="B167" s="222" t="s">
        <v>141</v>
      </c>
      <c r="C167" s="222" t="s">
        <v>61</v>
      </c>
      <c r="D167" s="222">
        <v>20</v>
      </c>
      <c r="E167" s="222">
        <v>4.7</v>
      </c>
      <c r="F167" s="222">
        <v>0</v>
      </c>
      <c r="G167" s="223">
        <f t="shared" si="9"/>
        <v>0</v>
      </c>
      <c r="H167" s="222">
        <v>0</v>
      </c>
      <c r="I167" s="223">
        <f t="shared" si="10"/>
        <v>0</v>
      </c>
      <c r="J167" s="222">
        <v>0</v>
      </c>
      <c r="K167" s="224" t="s">
        <v>54</v>
      </c>
    </row>
    <row r="168" spans="1:22" ht="192.5" x14ac:dyDescent="0.55000000000000004">
      <c r="A168" s="221" t="s">
        <v>79</v>
      </c>
      <c r="B168" s="222" t="s">
        <v>141</v>
      </c>
      <c r="C168" s="222" t="s">
        <v>15</v>
      </c>
      <c r="D168" s="222">
        <v>12</v>
      </c>
      <c r="E168" s="222">
        <v>5.2</v>
      </c>
      <c r="F168" s="222">
        <v>0.28000000000000003</v>
      </c>
      <c r="G168" s="223">
        <f t="shared" si="9"/>
        <v>1274.0000000000002</v>
      </c>
      <c r="H168" s="222">
        <v>0</v>
      </c>
      <c r="I168" s="223">
        <f t="shared" si="10"/>
        <v>0</v>
      </c>
      <c r="J168" s="222">
        <v>875</v>
      </c>
      <c r="K168" s="224" t="s">
        <v>57</v>
      </c>
    </row>
    <row r="169" spans="1:22" ht="192.5" x14ac:dyDescent="0.55000000000000004">
      <c r="A169" s="221" t="s">
        <v>79</v>
      </c>
      <c r="B169" s="222" t="s">
        <v>141</v>
      </c>
      <c r="C169" s="222" t="s">
        <v>15</v>
      </c>
      <c r="D169" s="222">
        <v>13</v>
      </c>
      <c r="E169" s="222">
        <v>6</v>
      </c>
      <c r="F169" s="222">
        <v>0.28000000000000003</v>
      </c>
      <c r="G169" s="223">
        <f t="shared" ref="G169:G189" si="11">(E169*J169)*F169</f>
        <v>1470.0000000000002</v>
      </c>
      <c r="H169" s="222">
        <v>0</v>
      </c>
      <c r="I169" s="223">
        <f t="shared" ref="I169:I189" si="12">(E169*J169)*H169</f>
        <v>0</v>
      </c>
      <c r="J169" s="222">
        <v>875</v>
      </c>
      <c r="K169" s="224" t="s">
        <v>57</v>
      </c>
    </row>
    <row r="170" spans="1:22" ht="220" x14ac:dyDescent="0.55000000000000004">
      <c r="A170" s="221" t="s">
        <v>50</v>
      </c>
      <c r="B170" s="222" t="s">
        <v>93</v>
      </c>
      <c r="C170" s="222" t="s">
        <v>52</v>
      </c>
      <c r="D170" s="222">
        <v>66</v>
      </c>
      <c r="E170" s="222">
        <v>16.5</v>
      </c>
      <c r="F170" s="222">
        <v>1.5</v>
      </c>
      <c r="G170" s="223">
        <f t="shared" si="11"/>
        <v>1509.75</v>
      </c>
      <c r="H170" s="222">
        <v>0</v>
      </c>
      <c r="I170" s="223">
        <f t="shared" si="12"/>
        <v>0</v>
      </c>
      <c r="J170" s="222">
        <v>61</v>
      </c>
      <c r="K170" s="224" t="s">
        <v>54</v>
      </c>
    </row>
    <row r="171" spans="1:22" ht="220" x14ac:dyDescent="0.55000000000000004">
      <c r="A171" s="221" t="s">
        <v>79</v>
      </c>
      <c r="B171" s="222" t="s">
        <v>93</v>
      </c>
      <c r="C171" s="222" t="s">
        <v>15</v>
      </c>
      <c r="D171" s="222">
        <v>15</v>
      </c>
      <c r="E171" s="222">
        <v>7</v>
      </c>
      <c r="F171" s="222">
        <v>0.28000000000000003</v>
      </c>
      <c r="G171" s="223">
        <f t="shared" si="11"/>
        <v>1715.0000000000002</v>
      </c>
      <c r="H171" s="222">
        <v>0</v>
      </c>
      <c r="I171" s="223">
        <f t="shared" si="12"/>
        <v>0</v>
      </c>
      <c r="J171" s="222">
        <v>875</v>
      </c>
      <c r="K171" s="224" t="s">
        <v>57</v>
      </c>
    </row>
    <row r="172" spans="1:22" ht="247.5" x14ac:dyDescent="0.55000000000000004">
      <c r="A172" s="221" t="s">
        <v>75</v>
      </c>
      <c r="B172" s="222" t="s">
        <v>142</v>
      </c>
      <c r="C172" s="222" t="s">
        <v>76</v>
      </c>
      <c r="D172" s="222">
        <v>98</v>
      </c>
      <c r="E172" s="222">
        <v>21.9</v>
      </c>
      <c r="F172" s="222">
        <v>1.5</v>
      </c>
      <c r="G172" s="223">
        <f t="shared" si="11"/>
        <v>1084.05</v>
      </c>
      <c r="H172" s="222">
        <v>0</v>
      </c>
      <c r="I172" s="223">
        <f t="shared" si="12"/>
        <v>0</v>
      </c>
      <c r="J172" s="222">
        <v>33</v>
      </c>
      <c r="K172" s="224" t="s">
        <v>57</v>
      </c>
    </row>
    <row r="173" spans="1:22" ht="247.5" x14ac:dyDescent="0.55000000000000004">
      <c r="A173" s="221" t="s">
        <v>79</v>
      </c>
      <c r="B173" s="222" t="s">
        <v>142</v>
      </c>
      <c r="C173" s="222" t="s">
        <v>15</v>
      </c>
      <c r="D173" s="222">
        <v>12</v>
      </c>
      <c r="E173" s="222">
        <v>3</v>
      </c>
      <c r="F173" s="222">
        <v>0.28000000000000003</v>
      </c>
      <c r="G173" s="223">
        <f t="shared" si="11"/>
        <v>735.00000000000011</v>
      </c>
      <c r="H173" s="222">
        <v>0</v>
      </c>
      <c r="I173" s="223">
        <f t="shared" si="12"/>
        <v>0</v>
      </c>
      <c r="J173" s="222">
        <v>875</v>
      </c>
      <c r="K173" s="224" t="s">
        <v>54</v>
      </c>
    </row>
    <row r="174" spans="1:22" ht="247.5" x14ac:dyDescent="0.55000000000000004">
      <c r="A174" s="221" t="s">
        <v>79</v>
      </c>
      <c r="B174" s="222" t="s">
        <v>142</v>
      </c>
      <c r="C174" s="222" t="s">
        <v>15</v>
      </c>
      <c r="D174" s="222">
        <v>12</v>
      </c>
      <c r="E174" s="222">
        <v>3.5</v>
      </c>
      <c r="F174" s="222">
        <v>0.28000000000000003</v>
      </c>
      <c r="G174" s="223">
        <f t="shared" si="11"/>
        <v>857.50000000000011</v>
      </c>
      <c r="H174" s="222">
        <v>0</v>
      </c>
      <c r="I174" s="223">
        <f t="shared" si="12"/>
        <v>0</v>
      </c>
      <c r="J174" s="222">
        <v>875</v>
      </c>
      <c r="K174" s="224" t="s">
        <v>57</v>
      </c>
    </row>
    <row r="175" spans="1:22" ht="247.5" x14ac:dyDescent="0.55000000000000004">
      <c r="A175" s="221" t="s">
        <v>79</v>
      </c>
      <c r="B175" s="222" t="s">
        <v>142</v>
      </c>
      <c r="C175" s="222" t="s">
        <v>15</v>
      </c>
      <c r="D175" s="222">
        <v>13</v>
      </c>
      <c r="E175" s="222">
        <v>3.5</v>
      </c>
      <c r="F175" s="222">
        <v>0.28000000000000003</v>
      </c>
      <c r="G175" s="223">
        <f t="shared" si="11"/>
        <v>857.50000000000011</v>
      </c>
      <c r="H175" s="222">
        <v>0</v>
      </c>
      <c r="I175" s="223">
        <f t="shared" si="12"/>
        <v>0</v>
      </c>
      <c r="J175" s="222">
        <v>875</v>
      </c>
      <c r="K175" s="224" t="s">
        <v>54</v>
      </c>
    </row>
    <row r="176" spans="1:22" ht="55" x14ac:dyDescent="0.55000000000000004">
      <c r="A176" s="221" t="s">
        <v>95</v>
      </c>
      <c r="B176" s="222" t="s">
        <v>80</v>
      </c>
      <c r="C176" s="222" t="s">
        <v>30</v>
      </c>
      <c r="D176" s="222">
        <v>120</v>
      </c>
      <c r="E176" s="222">
        <v>13.4</v>
      </c>
      <c r="F176" s="222">
        <v>0.14000000000000001</v>
      </c>
      <c r="G176" s="223">
        <f t="shared" si="11"/>
        <v>4502.4000000000005</v>
      </c>
      <c r="H176" s="222">
        <v>0</v>
      </c>
      <c r="I176" s="223">
        <f t="shared" si="12"/>
        <v>0</v>
      </c>
      <c r="J176" s="222">
        <v>2400</v>
      </c>
      <c r="K176" s="224" t="s">
        <v>54</v>
      </c>
    </row>
    <row r="177" spans="1:11" ht="192.5" x14ac:dyDescent="0.55000000000000004">
      <c r="A177" s="221" t="s">
        <v>50</v>
      </c>
      <c r="B177" s="222" t="s">
        <v>62</v>
      </c>
      <c r="C177" s="222" t="s">
        <v>52</v>
      </c>
      <c r="D177" s="222">
        <v>98</v>
      </c>
      <c r="E177" s="222">
        <v>1</v>
      </c>
      <c r="F177" s="222">
        <v>1.5</v>
      </c>
      <c r="G177" s="223">
        <f t="shared" si="11"/>
        <v>91.5</v>
      </c>
      <c r="H177" s="222">
        <v>0</v>
      </c>
      <c r="I177" s="223">
        <f t="shared" si="12"/>
        <v>0</v>
      </c>
      <c r="J177" s="222">
        <v>61</v>
      </c>
      <c r="K177" s="224" t="s">
        <v>57</v>
      </c>
    </row>
    <row r="178" spans="1:11" ht="192.5" x14ac:dyDescent="0.55000000000000004">
      <c r="A178" s="221" t="s">
        <v>89</v>
      </c>
      <c r="B178" s="222" t="s">
        <v>62</v>
      </c>
      <c r="C178" s="222" t="s">
        <v>20</v>
      </c>
      <c r="D178" s="222">
        <v>80</v>
      </c>
      <c r="E178" s="222">
        <v>1</v>
      </c>
      <c r="F178" s="222">
        <v>0.2</v>
      </c>
      <c r="G178" s="223">
        <f t="shared" si="11"/>
        <v>94</v>
      </c>
      <c r="H178" s="222">
        <v>1.6</v>
      </c>
      <c r="I178" s="223">
        <f t="shared" si="12"/>
        <v>752</v>
      </c>
      <c r="J178" s="222">
        <v>470</v>
      </c>
      <c r="K178" s="224" t="s">
        <v>57</v>
      </c>
    </row>
    <row r="179" spans="1:11" ht="192.5" x14ac:dyDescent="0.55000000000000004">
      <c r="A179" s="221" t="s">
        <v>59</v>
      </c>
      <c r="B179" s="222" t="s">
        <v>62</v>
      </c>
      <c r="C179" s="222" t="s">
        <v>61</v>
      </c>
      <c r="D179" s="222">
        <v>20</v>
      </c>
      <c r="E179" s="222">
        <v>0</v>
      </c>
      <c r="F179" s="222">
        <v>0</v>
      </c>
      <c r="G179" s="223">
        <f t="shared" si="11"/>
        <v>0</v>
      </c>
      <c r="H179" s="222">
        <v>0</v>
      </c>
      <c r="I179" s="223">
        <f t="shared" si="12"/>
        <v>0</v>
      </c>
      <c r="J179" s="222">
        <v>0</v>
      </c>
      <c r="K179" s="224" t="s">
        <v>57</v>
      </c>
    </row>
    <row r="180" spans="1:11" ht="192.5" x14ac:dyDescent="0.55000000000000004">
      <c r="A180" s="221" t="s">
        <v>79</v>
      </c>
      <c r="B180" s="222" t="s">
        <v>62</v>
      </c>
      <c r="C180" s="222" t="s">
        <v>15</v>
      </c>
      <c r="D180" s="222">
        <v>15</v>
      </c>
      <c r="E180" s="222">
        <v>0</v>
      </c>
      <c r="F180" s="222">
        <v>0.28000000000000003</v>
      </c>
      <c r="G180" s="223">
        <f t="shared" si="11"/>
        <v>0</v>
      </c>
      <c r="H180" s="222">
        <v>0</v>
      </c>
      <c r="I180" s="223">
        <f t="shared" si="12"/>
        <v>0</v>
      </c>
      <c r="J180" s="222">
        <v>875</v>
      </c>
      <c r="K180" s="224" t="s">
        <v>57</v>
      </c>
    </row>
    <row r="181" spans="1:11" ht="192.5" x14ac:dyDescent="0.55000000000000004">
      <c r="A181" s="221" t="s">
        <v>79</v>
      </c>
      <c r="B181" s="222" t="s">
        <v>62</v>
      </c>
      <c r="C181" s="222" t="s">
        <v>15</v>
      </c>
      <c r="D181" s="222">
        <v>15</v>
      </c>
      <c r="E181" s="222">
        <v>0</v>
      </c>
      <c r="F181" s="222">
        <v>0.28000000000000003</v>
      </c>
      <c r="G181" s="223">
        <f t="shared" si="11"/>
        <v>0</v>
      </c>
      <c r="H181" s="222">
        <v>0</v>
      </c>
      <c r="I181" s="223">
        <f t="shared" si="12"/>
        <v>0</v>
      </c>
      <c r="J181" s="222">
        <v>875</v>
      </c>
      <c r="K181" s="224" t="s">
        <v>54</v>
      </c>
    </row>
    <row r="182" spans="1:11" ht="55" x14ac:dyDescent="0.55000000000000004">
      <c r="A182" s="221" t="s">
        <v>50</v>
      </c>
      <c r="B182" s="222" t="s">
        <v>97</v>
      </c>
      <c r="C182" s="222" t="s">
        <v>52</v>
      </c>
      <c r="D182" s="222">
        <v>66</v>
      </c>
      <c r="E182" s="222">
        <v>74.8</v>
      </c>
      <c r="F182" s="222">
        <v>1.5</v>
      </c>
      <c r="G182" s="223">
        <f t="shared" si="11"/>
        <v>6844.2000000000007</v>
      </c>
      <c r="H182" s="222">
        <v>0</v>
      </c>
      <c r="I182" s="223">
        <f t="shared" si="12"/>
        <v>0</v>
      </c>
      <c r="J182" s="222">
        <v>61</v>
      </c>
      <c r="K182" s="224" t="s">
        <v>54</v>
      </c>
    </row>
    <row r="183" spans="1:11" ht="55" x14ac:dyDescent="0.55000000000000004">
      <c r="A183" s="221" t="s">
        <v>79</v>
      </c>
      <c r="B183" s="222" t="s">
        <v>97</v>
      </c>
      <c r="C183" s="222" t="s">
        <v>15</v>
      </c>
      <c r="D183" s="222">
        <v>13</v>
      </c>
      <c r="E183" s="222">
        <v>17.600000000000001</v>
      </c>
      <c r="F183" s="222">
        <v>0.28000000000000003</v>
      </c>
      <c r="G183" s="223">
        <f t="shared" si="11"/>
        <v>4312.0000000000009</v>
      </c>
      <c r="H183" s="222">
        <v>0</v>
      </c>
      <c r="I183" s="223">
        <f t="shared" si="12"/>
        <v>0</v>
      </c>
      <c r="J183" s="222">
        <v>875</v>
      </c>
      <c r="K183" s="224" t="s">
        <v>54</v>
      </c>
    </row>
    <row r="184" spans="1:11" ht="55" x14ac:dyDescent="0.55000000000000004">
      <c r="A184" s="221" t="s">
        <v>79</v>
      </c>
      <c r="B184" s="222" t="s">
        <v>97</v>
      </c>
      <c r="C184" s="222" t="s">
        <v>15</v>
      </c>
      <c r="D184" s="222">
        <v>13</v>
      </c>
      <c r="E184" s="222">
        <v>17.600000000000001</v>
      </c>
      <c r="F184" s="222">
        <v>0.28000000000000003</v>
      </c>
      <c r="G184" s="223">
        <f t="shared" si="11"/>
        <v>4312.0000000000009</v>
      </c>
      <c r="H184" s="222">
        <v>0</v>
      </c>
      <c r="I184" s="223">
        <f t="shared" si="12"/>
        <v>0</v>
      </c>
      <c r="J184" s="222">
        <v>875</v>
      </c>
      <c r="K184" s="224" t="s">
        <v>57</v>
      </c>
    </row>
    <row r="185" spans="1:11" ht="55" x14ac:dyDescent="0.55000000000000004">
      <c r="A185" s="221" t="s">
        <v>58</v>
      </c>
      <c r="B185" s="222" t="s">
        <v>103</v>
      </c>
      <c r="C185" s="222" t="s">
        <v>32</v>
      </c>
      <c r="D185" s="222">
        <v>300</v>
      </c>
      <c r="E185" s="222">
        <v>16.2</v>
      </c>
      <c r="F185" s="222">
        <v>0.19</v>
      </c>
      <c r="G185" s="223">
        <f t="shared" si="11"/>
        <v>7387.2</v>
      </c>
      <c r="H185" s="222">
        <v>0</v>
      </c>
      <c r="I185" s="223">
        <f t="shared" si="12"/>
        <v>0</v>
      </c>
      <c r="J185" s="222">
        <v>2400</v>
      </c>
      <c r="K185" s="224" t="s">
        <v>54</v>
      </c>
    </row>
    <row r="186" spans="1:11" ht="110" x14ac:dyDescent="0.55000000000000004">
      <c r="A186" s="206" t="s">
        <v>58</v>
      </c>
      <c r="B186" s="205" t="s">
        <v>108</v>
      </c>
      <c r="C186" s="205" t="s">
        <v>32</v>
      </c>
      <c r="D186" s="205">
        <v>200</v>
      </c>
      <c r="E186" s="205">
        <v>64.7</v>
      </c>
      <c r="F186" s="205">
        <v>0.19</v>
      </c>
      <c r="G186" s="202">
        <f t="shared" si="11"/>
        <v>29503.200000000001</v>
      </c>
      <c r="H186" s="205">
        <v>0</v>
      </c>
      <c r="I186" s="202">
        <f t="shared" si="12"/>
        <v>0</v>
      </c>
      <c r="J186" s="205">
        <v>2400</v>
      </c>
      <c r="K186" s="207" t="s">
        <v>57</v>
      </c>
    </row>
    <row r="187" spans="1:11" ht="110" x14ac:dyDescent="0.55000000000000004">
      <c r="A187" s="206" t="s">
        <v>98</v>
      </c>
      <c r="B187" s="205" t="s">
        <v>99</v>
      </c>
      <c r="C187" s="205" t="s">
        <v>100</v>
      </c>
      <c r="D187" s="205">
        <v>125</v>
      </c>
      <c r="E187" s="205">
        <v>12.7</v>
      </c>
      <c r="F187" s="205">
        <v>0.36</v>
      </c>
      <c r="G187" s="202">
        <f t="shared" si="11"/>
        <v>2944.3679999999995</v>
      </c>
      <c r="H187" s="205">
        <v>0</v>
      </c>
      <c r="I187" s="202">
        <f t="shared" si="12"/>
        <v>0</v>
      </c>
      <c r="J187" s="205">
        <v>644</v>
      </c>
      <c r="K187" s="207" t="s">
        <v>57</v>
      </c>
    </row>
    <row r="188" spans="1:11" ht="82.5" x14ac:dyDescent="0.55000000000000004">
      <c r="A188" s="206" t="s">
        <v>135</v>
      </c>
      <c r="B188" s="205" t="s">
        <v>136</v>
      </c>
      <c r="C188" s="205" t="s">
        <v>137</v>
      </c>
      <c r="D188" s="205">
        <v>450</v>
      </c>
      <c r="E188" s="205">
        <v>189.5</v>
      </c>
      <c r="F188" s="205">
        <v>1.02</v>
      </c>
      <c r="G188" s="202">
        <f t="shared" si="11"/>
        <v>5798.7</v>
      </c>
      <c r="H188" s="205">
        <v>1.1000000000000001</v>
      </c>
      <c r="I188" s="202">
        <f t="shared" si="12"/>
        <v>6253.5000000000009</v>
      </c>
      <c r="J188" s="205">
        <v>30</v>
      </c>
      <c r="K188" s="207" t="s">
        <v>57</v>
      </c>
    </row>
    <row r="189" spans="1:11" ht="82.5" x14ac:dyDescent="0.55000000000000004">
      <c r="A189" s="206" t="s">
        <v>79</v>
      </c>
      <c r="B189" s="205" t="s">
        <v>136</v>
      </c>
      <c r="C189" s="205" t="s">
        <v>15</v>
      </c>
      <c r="D189" s="205">
        <v>13</v>
      </c>
      <c r="E189" s="205">
        <v>5.2</v>
      </c>
      <c r="F189" s="205">
        <v>0.28000000000000003</v>
      </c>
      <c r="G189" s="202">
        <f t="shared" si="11"/>
        <v>1274.0000000000002</v>
      </c>
      <c r="H189" s="205">
        <v>0</v>
      </c>
      <c r="I189" s="202">
        <f t="shared" si="12"/>
        <v>0</v>
      </c>
      <c r="J189" s="205">
        <v>875</v>
      </c>
      <c r="K189" s="207" t="s">
        <v>57</v>
      </c>
    </row>
    <row r="190" spans="1:11" ht="24.5" x14ac:dyDescent="0.55000000000000004">
      <c r="A190" s="202"/>
      <c r="B190" s="202"/>
      <c r="C190" s="202"/>
      <c r="D190" s="202"/>
      <c r="E190" s="202"/>
      <c r="F190" s="202"/>
      <c r="G190" s="209">
        <f>SUM(G105:G189)</f>
        <v>398470.8280000001</v>
      </c>
      <c r="H190" s="209"/>
      <c r="I190" s="209">
        <f t="shared" ref="I190" si="13">SUM(I105:I189)</f>
        <v>300607.82</v>
      </c>
      <c r="J190" s="202"/>
      <c r="K190" s="202"/>
    </row>
    <row r="191" spans="1:11" ht="24.5" x14ac:dyDescent="0.55000000000000004">
      <c r="A191" s="202"/>
      <c r="B191" s="202"/>
      <c r="C191" s="202"/>
      <c r="D191" s="202"/>
      <c r="E191" s="202"/>
      <c r="F191" s="202"/>
      <c r="G191" s="202"/>
      <c r="H191" s="202"/>
      <c r="I191" s="202"/>
      <c r="J191" s="202"/>
      <c r="K191" s="202"/>
    </row>
    <row r="192" spans="1:11" ht="24.5" x14ac:dyDescent="0.55000000000000004">
      <c r="A192" s="202"/>
      <c r="B192" s="202"/>
      <c r="C192" s="202"/>
      <c r="D192" s="202"/>
      <c r="E192" s="202"/>
      <c r="F192" s="202"/>
      <c r="G192" s="202"/>
      <c r="H192" s="209">
        <f>G190-I190</f>
        <v>97863.008000000089</v>
      </c>
      <c r="I192" s="202" t="s">
        <v>44</v>
      </c>
      <c r="J192" s="202"/>
      <c r="K192" s="202"/>
    </row>
    <row r="193" spans="1:11" ht="24.5" x14ac:dyDescent="0.55000000000000004">
      <c r="A193" s="202"/>
      <c r="B193" s="202"/>
      <c r="C193" s="202"/>
      <c r="D193" s="202"/>
      <c r="E193" s="202"/>
      <c r="F193" s="202"/>
      <c r="G193" s="202"/>
      <c r="H193" s="209">
        <f>H192/1000</f>
        <v>97.863008000000093</v>
      </c>
      <c r="I193" s="202" t="s">
        <v>110</v>
      </c>
      <c r="J193" s="202"/>
      <c r="K193" s="202"/>
    </row>
  </sheetData>
  <sheetProtection algorithmName="SHA-512" hashValue="SurAkj3RCo7Xjhdk3J+YPKoOuxecuFnCzQDxHxiLc2aYn3cJpw+sIg6rnxL0hxYVSBBDAoOqJsANefumVho4ug==" saltValue="NNULn2AtDfXQtJXpKZwRsQ==" spinCount="100000" sheet="1" objects="1" scenarios="1"/>
  <mergeCells count="1">
    <mergeCell ref="A3:I3"/>
  </mergeCells>
  <pageMargins left="0.7" right="0.7" top="0.75" bottom="0.75" header="0.3" footer="0.3"/>
  <pageSetup paperSize="9" orientation="portrait" verticalDpi="0" r:id="rId1"/>
  <tableParts count="1">
    <tablePart r:id="rId2"/>
  </tablePart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059A3C-AF32-4C18-A1DF-D24597C15D68}">
  <sheetPr codeName="Taul9"/>
  <dimension ref="A1:Q113"/>
  <sheetViews>
    <sheetView topLeftCell="A100" zoomScale="50" zoomScaleNormal="50" workbookViewId="0">
      <selection sqref="A1:XFD1048576"/>
    </sheetView>
  </sheetViews>
  <sheetFormatPr defaultRowHeight="14.5" x14ac:dyDescent="0.35"/>
  <cols>
    <col min="1" max="1" width="15.7265625" style="49" customWidth="1"/>
    <col min="2" max="2" width="20.453125" style="49" customWidth="1"/>
    <col min="3" max="3" width="19.90625" style="49" customWidth="1"/>
    <col min="4" max="4" width="26.7265625" style="49" customWidth="1"/>
    <col min="5" max="5" width="25.453125" style="49" customWidth="1"/>
    <col min="6" max="6" width="20.1796875" style="49" customWidth="1"/>
    <col min="7" max="7" width="21.81640625" style="49" customWidth="1"/>
    <col min="8" max="8" width="24.81640625" style="49" customWidth="1"/>
    <col min="9" max="9" width="17" style="49" customWidth="1"/>
    <col min="10" max="10" width="22.36328125" style="49" customWidth="1"/>
    <col min="11" max="11" width="17.54296875" style="49" customWidth="1"/>
    <col min="12" max="12" width="19" style="49" customWidth="1"/>
    <col min="13" max="13" width="25.26953125" style="49" customWidth="1"/>
    <col min="14" max="16384" width="8.7265625" style="49"/>
  </cols>
  <sheetData>
    <row r="1" spans="1:14" ht="26" x14ac:dyDescent="0.65">
      <c r="A1" s="182" t="s">
        <v>350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  <c r="L1" s="182"/>
      <c r="M1" s="182"/>
      <c r="N1" s="182"/>
    </row>
    <row r="2" spans="1:14" ht="26" x14ac:dyDescent="0.65">
      <c r="A2" s="182"/>
      <c r="B2" s="182"/>
      <c r="C2" s="182"/>
      <c r="D2" s="182"/>
      <c r="E2" s="182"/>
      <c r="F2" s="182"/>
      <c r="G2" s="182"/>
      <c r="H2" s="182"/>
      <c r="I2" s="182"/>
      <c r="J2" s="182"/>
      <c r="K2" s="182"/>
      <c r="L2" s="182"/>
      <c r="M2" s="182"/>
      <c r="N2" s="182"/>
    </row>
    <row r="3" spans="1:14" ht="26" x14ac:dyDescent="0.65">
      <c r="A3" s="268" t="s">
        <v>151</v>
      </c>
      <c r="B3" s="268"/>
      <c r="C3" s="268"/>
      <c r="D3" s="268"/>
      <c r="E3" s="268"/>
      <c r="F3" s="268"/>
      <c r="G3" s="268"/>
      <c r="H3" s="268"/>
      <c r="I3" s="268"/>
      <c r="J3" s="268"/>
      <c r="K3" s="268"/>
      <c r="L3" s="182"/>
      <c r="M3" s="182"/>
      <c r="N3" s="182"/>
    </row>
    <row r="4" spans="1:14" ht="78" x14ac:dyDescent="0.65">
      <c r="A4" s="183" t="s">
        <v>36</v>
      </c>
      <c r="B4" s="183" t="s">
        <v>37</v>
      </c>
      <c r="C4" s="183" t="s">
        <v>38</v>
      </c>
      <c r="D4" s="183" t="s">
        <v>39</v>
      </c>
      <c r="E4" s="183" t="s">
        <v>40</v>
      </c>
      <c r="F4" s="183" t="s">
        <v>41</v>
      </c>
      <c r="G4" s="183" t="s">
        <v>42</v>
      </c>
      <c r="H4" s="184" t="s">
        <v>43</v>
      </c>
      <c r="I4" s="184" t="s">
        <v>44</v>
      </c>
      <c r="J4" s="184" t="s">
        <v>45</v>
      </c>
      <c r="K4" s="184" t="s">
        <v>44</v>
      </c>
      <c r="L4" s="183" t="s">
        <v>152</v>
      </c>
      <c r="M4" s="183" t="s">
        <v>47</v>
      </c>
      <c r="N4" s="182"/>
    </row>
    <row r="5" spans="1:14" ht="52" x14ac:dyDescent="0.65">
      <c r="A5" s="185" t="s">
        <v>36</v>
      </c>
      <c r="B5" s="186" t="s">
        <v>37</v>
      </c>
      <c r="C5" s="186" t="s">
        <v>38</v>
      </c>
      <c r="D5" s="186" t="s">
        <v>265</v>
      </c>
      <c r="E5" s="186" t="s">
        <v>264</v>
      </c>
      <c r="F5" s="186" t="s">
        <v>113</v>
      </c>
      <c r="G5" s="186" t="s">
        <v>114</v>
      </c>
      <c r="H5" s="187" t="s">
        <v>115</v>
      </c>
      <c r="I5" s="182" t="s">
        <v>44</v>
      </c>
      <c r="J5" s="187" t="s">
        <v>116</v>
      </c>
      <c r="K5" s="182" t="s">
        <v>117</v>
      </c>
      <c r="L5" s="186" t="s">
        <v>152</v>
      </c>
      <c r="M5" s="188" t="s">
        <v>263</v>
      </c>
      <c r="N5" s="182"/>
    </row>
    <row r="6" spans="1:14" ht="52" x14ac:dyDescent="0.65">
      <c r="A6" s="185" t="s">
        <v>95</v>
      </c>
      <c r="B6" s="186" t="s">
        <v>153</v>
      </c>
      <c r="C6" s="186" t="s">
        <v>31</v>
      </c>
      <c r="D6" s="186">
        <v>270</v>
      </c>
      <c r="E6" s="186">
        <v>116.8</v>
      </c>
      <c r="F6" s="186">
        <v>151849.29999999999</v>
      </c>
      <c r="G6" s="186">
        <v>382</v>
      </c>
      <c r="H6" s="187">
        <v>0.17</v>
      </c>
      <c r="I6" s="182">
        <f t="shared" ref="I6:I48" si="0">(E6*G6)*H6</f>
        <v>7584.9920000000002</v>
      </c>
      <c r="J6" s="187">
        <v>0</v>
      </c>
      <c r="K6" s="182">
        <f t="shared" ref="K6:K48" si="1">(E6*G6)*J6</f>
        <v>0</v>
      </c>
      <c r="L6" s="186" t="s">
        <v>53</v>
      </c>
      <c r="M6" s="188" t="s">
        <v>54</v>
      </c>
      <c r="N6" s="182"/>
    </row>
    <row r="7" spans="1:14" ht="78" x14ac:dyDescent="0.65">
      <c r="A7" s="185" t="s">
        <v>75</v>
      </c>
      <c r="B7" s="186" t="s">
        <v>153</v>
      </c>
      <c r="C7" s="186" t="s">
        <v>76</v>
      </c>
      <c r="D7" s="186">
        <v>450</v>
      </c>
      <c r="E7" s="186">
        <v>194.7</v>
      </c>
      <c r="F7" s="186">
        <v>7787.1</v>
      </c>
      <c r="G7" s="186">
        <v>33</v>
      </c>
      <c r="H7" s="186">
        <v>1.5</v>
      </c>
      <c r="I7" s="182">
        <f t="shared" si="0"/>
        <v>9637.65</v>
      </c>
      <c r="J7" s="186">
        <v>0</v>
      </c>
      <c r="K7" s="182">
        <f t="shared" si="1"/>
        <v>0</v>
      </c>
      <c r="L7" s="186" t="s">
        <v>53</v>
      </c>
      <c r="M7" s="188" t="s">
        <v>57</v>
      </c>
      <c r="N7" s="182"/>
    </row>
    <row r="8" spans="1:14" ht="104" x14ac:dyDescent="0.65">
      <c r="A8" s="185" t="s">
        <v>98</v>
      </c>
      <c r="B8" s="186" t="s">
        <v>99</v>
      </c>
      <c r="C8" s="186" t="s">
        <v>100</v>
      </c>
      <c r="D8" s="186">
        <v>125</v>
      </c>
      <c r="E8" s="186">
        <v>13.6</v>
      </c>
      <c r="F8" s="186">
        <v>18951.099999999999</v>
      </c>
      <c r="G8" s="186">
        <v>644</v>
      </c>
      <c r="H8" s="186">
        <v>0.26</v>
      </c>
      <c r="I8" s="182">
        <f t="shared" si="0"/>
        <v>2277.1840000000002</v>
      </c>
      <c r="J8" s="186">
        <v>0</v>
      </c>
      <c r="K8" s="182">
        <f t="shared" si="1"/>
        <v>0</v>
      </c>
      <c r="L8" s="186" t="s">
        <v>53</v>
      </c>
      <c r="M8" s="188" t="s">
        <v>57</v>
      </c>
      <c r="N8" s="182"/>
    </row>
    <row r="9" spans="1:14" ht="104" x14ac:dyDescent="0.65">
      <c r="A9" s="185" t="s">
        <v>58</v>
      </c>
      <c r="B9" s="186" t="s">
        <v>108</v>
      </c>
      <c r="C9" s="186" t="s">
        <v>32</v>
      </c>
      <c r="D9" s="186">
        <v>200</v>
      </c>
      <c r="E9" s="186">
        <v>64.8</v>
      </c>
      <c r="F9" s="186">
        <v>155252.5</v>
      </c>
      <c r="G9" s="186">
        <v>2400</v>
      </c>
      <c r="H9" s="186">
        <v>0.19</v>
      </c>
      <c r="I9" s="182">
        <f t="shared" si="0"/>
        <v>29548.799999999999</v>
      </c>
      <c r="J9" s="186">
        <v>0</v>
      </c>
      <c r="K9" s="182">
        <f t="shared" si="1"/>
        <v>0</v>
      </c>
      <c r="L9" s="186" t="s">
        <v>53</v>
      </c>
      <c r="M9" s="188" t="s">
        <v>57</v>
      </c>
      <c r="N9" s="182"/>
    </row>
    <row r="10" spans="1:14" ht="78" x14ac:dyDescent="0.65">
      <c r="A10" s="185" t="s">
        <v>58</v>
      </c>
      <c r="B10" s="186" t="s">
        <v>103</v>
      </c>
      <c r="C10" s="186" t="s">
        <v>32</v>
      </c>
      <c r="D10" s="186">
        <v>300</v>
      </c>
      <c r="E10" s="186">
        <v>15.6</v>
      </c>
      <c r="F10" s="186">
        <v>37482.199999999997</v>
      </c>
      <c r="G10" s="186">
        <v>2400</v>
      </c>
      <c r="H10" s="186">
        <v>0.19</v>
      </c>
      <c r="I10" s="182">
        <f t="shared" si="0"/>
        <v>7113.6</v>
      </c>
      <c r="J10" s="186">
        <v>0</v>
      </c>
      <c r="K10" s="182">
        <f t="shared" si="1"/>
        <v>0</v>
      </c>
      <c r="L10" s="186" t="s">
        <v>53</v>
      </c>
      <c r="M10" s="188" t="s">
        <v>54</v>
      </c>
      <c r="N10" s="182"/>
    </row>
    <row r="11" spans="1:14" ht="78" x14ac:dyDescent="0.65">
      <c r="A11" s="185" t="s">
        <v>58</v>
      </c>
      <c r="B11" s="186" t="s">
        <v>105</v>
      </c>
      <c r="C11" s="186" t="s">
        <v>32</v>
      </c>
      <c r="D11" s="186">
        <v>300</v>
      </c>
      <c r="E11" s="186">
        <v>16.600000000000001</v>
      </c>
      <c r="F11" s="186">
        <v>39910.199999999997</v>
      </c>
      <c r="G11" s="186">
        <v>2400</v>
      </c>
      <c r="H11" s="186">
        <v>0.19</v>
      </c>
      <c r="I11" s="182">
        <f t="shared" si="0"/>
        <v>7569.6</v>
      </c>
      <c r="J11" s="186">
        <v>0</v>
      </c>
      <c r="K11" s="182">
        <f t="shared" si="1"/>
        <v>0</v>
      </c>
      <c r="L11" s="186" t="s">
        <v>53</v>
      </c>
      <c r="M11" s="188" t="s">
        <v>57</v>
      </c>
      <c r="N11" s="182"/>
    </row>
    <row r="12" spans="1:14" ht="52" x14ac:dyDescent="0.65">
      <c r="A12" s="185" t="s">
        <v>79</v>
      </c>
      <c r="B12" s="186" t="s">
        <v>97</v>
      </c>
      <c r="C12" s="186" t="s">
        <v>15</v>
      </c>
      <c r="D12" s="186">
        <v>13</v>
      </c>
      <c r="E12" s="186">
        <v>16.5</v>
      </c>
      <c r="F12" s="186">
        <v>12333.2</v>
      </c>
      <c r="G12" s="186">
        <v>875</v>
      </c>
      <c r="H12" s="186">
        <v>0.28000000000000003</v>
      </c>
      <c r="I12" s="182">
        <f t="shared" si="0"/>
        <v>4042.5000000000005</v>
      </c>
      <c r="J12" s="186">
        <v>0</v>
      </c>
      <c r="K12" s="182">
        <f t="shared" si="1"/>
        <v>0</v>
      </c>
      <c r="L12" s="186" t="s">
        <v>53</v>
      </c>
      <c r="M12" s="188" t="s">
        <v>54</v>
      </c>
      <c r="N12" s="182"/>
    </row>
    <row r="13" spans="1:14" ht="52" x14ac:dyDescent="0.65">
      <c r="A13" s="185" t="s">
        <v>79</v>
      </c>
      <c r="B13" s="186" t="s">
        <v>97</v>
      </c>
      <c r="C13" s="186" t="s">
        <v>15</v>
      </c>
      <c r="D13" s="186">
        <v>13</v>
      </c>
      <c r="E13" s="186">
        <v>16.5</v>
      </c>
      <c r="F13" s="186">
        <v>13396.9</v>
      </c>
      <c r="G13" s="186">
        <v>875</v>
      </c>
      <c r="H13" s="186">
        <v>0.28000000000000003</v>
      </c>
      <c r="I13" s="182">
        <f t="shared" si="0"/>
        <v>4042.5000000000005</v>
      </c>
      <c r="J13" s="186">
        <v>0</v>
      </c>
      <c r="K13" s="182">
        <f t="shared" si="1"/>
        <v>0</v>
      </c>
      <c r="L13" s="186" t="s">
        <v>53</v>
      </c>
      <c r="M13" s="188" t="s">
        <v>57</v>
      </c>
      <c r="N13" s="182"/>
    </row>
    <row r="14" spans="1:14" ht="78" x14ac:dyDescent="0.65">
      <c r="A14" s="185" t="s">
        <v>50</v>
      </c>
      <c r="B14" s="186" t="s">
        <v>97</v>
      </c>
      <c r="C14" s="186" t="s">
        <v>52</v>
      </c>
      <c r="D14" s="186">
        <v>66</v>
      </c>
      <c r="E14" s="186">
        <v>69.3</v>
      </c>
      <c r="F14" s="186">
        <v>36298.300000000003</v>
      </c>
      <c r="G14" s="186">
        <v>61</v>
      </c>
      <c r="H14" s="186">
        <v>1.5</v>
      </c>
      <c r="I14" s="182">
        <f t="shared" si="0"/>
        <v>6340.9500000000007</v>
      </c>
      <c r="J14" s="186">
        <v>0</v>
      </c>
      <c r="K14" s="182">
        <f t="shared" si="1"/>
        <v>0</v>
      </c>
      <c r="L14" s="186" t="s">
        <v>53</v>
      </c>
      <c r="M14" s="188" t="s">
        <v>54</v>
      </c>
      <c r="N14" s="182"/>
    </row>
    <row r="15" spans="1:14" ht="78" x14ac:dyDescent="0.65">
      <c r="A15" s="185" t="s">
        <v>95</v>
      </c>
      <c r="B15" s="186" t="s">
        <v>156</v>
      </c>
      <c r="C15" s="186" t="s">
        <v>30</v>
      </c>
      <c r="D15" s="186">
        <v>120</v>
      </c>
      <c r="E15" s="186">
        <v>13.1</v>
      </c>
      <c r="F15" s="186">
        <v>30820.799999999999</v>
      </c>
      <c r="G15" s="186">
        <v>2375</v>
      </c>
      <c r="H15" s="186">
        <v>0.15</v>
      </c>
      <c r="I15" s="182">
        <f t="shared" si="0"/>
        <v>4666.875</v>
      </c>
      <c r="J15" s="186">
        <v>0</v>
      </c>
      <c r="K15" s="182">
        <f t="shared" si="1"/>
        <v>0</v>
      </c>
      <c r="L15" s="186" t="s">
        <v>53</v>
      </c>
      <c r="M15" s="188" t="s">
        <v>54</v>
      </c>
      <c r="N15" s="182"/>
    </row>
    <row r="16" spans="1:14" ht="156" x14ac:dyDescent="0.65">
      <c r="A16" s="185" t="s">
        <v>79</v>
      </c>
      <c r="B16" s="186" t="s">
        <v>93</v>
      </c>
      <c r="C16" s="186" t="s">
        <v>15</v>
      </c>
      <c r="D16" s="186">
        <v>15</v>
      </c>
      <c r="E16" s="186">
        <v>7</v>
      </c>
      <c r="F16" s="186">
        <v>7924.9</v>
      </c>
      <c r="G16" s="186">
        <v>875</v>
      </c>
      <c r="H16" s="186">
        <v>0.28000000000000003</v>
      </c>
      <c r="I16" s="182">
        <f t="shared" si="0"/>
        <v>1715.0000000000002</v>
      </c>
      <c r="J16" s="186">
        <v>0</v>
      </c>
      <c r="K16" s="182">
        <f t="shared" si="1"/>
        <v>0</v>
      </c>
      <c r="L16" s="186" t="s">
        <v>53</v>
      </c>
      <c r="M16" s="188" t="s">
        <v>57</v>
      </c>
      <c r="N16" s="182"/>
    </row>
    <row r="17" spans="1:14" ht="156" x14ac:dyDescent="0.65">
      <c r="A17" s="185" t="s">
        <v>50</v>
      </c>
      <c r="B17" s="186" t="s">
        <v>93</v>
      </c>
      <c r="C17" s="186" t="s">
        <v>52</v>
      </c>
      <c r="D17" s="186">
        <v>66</v>
      </c>
      <c r="E17" s="186">
        <v>17.5</v>
      </c>
      <c r="F17" s="186">
        <v>9188.7000000000007</v>
      </c>
      <c r="G17" s="186">
        <v>61</v>
      </c>
      <c r="H17" s="186">
        <v>1.5</v>
      </c>
      <c r="I17" s="182">
        <f t="shared" si="0"/>
        <v>1601.25</v>
      </c>
      <c r="J17" s="186">
        <v>0</v>
      </c>
      <c r="K17" s="182">
        <f t="shared" si="1"/>
        <v>0</v>
      </c>
      <c r="L17" s="186" t="s">
        <v>53</v>
      </c>
      <c r="M17" s="188" t="s">
        <v>54</v>
      </c>
      <c r="N17" s="182"/>
    </row>
    <row r="18" spans="1:14" ht="78" x14ac:dyDescent="0.65">
      <c r="A18" s="185" t="s">
        <v>95</v>
      </c>
      <c r="B18" s="186" t="s">
        <v>157</v>
      </c>
      <c r="C18" s="186" t="s">
        <v>30</v>
      </c>
      <c r="D18" s="186">
        <v>200</v>
      </c>
      <c r="E18" s="186">
        <v>336.3</v>
      </c>
      <c r="F18" s="186">
        <v>806239.3</v>
      </c>
      <c r="G18" s="186">
        <v>2375</v>
      </c>
      <c r="H18" s="186">
        <v>0.15</v>
      </c>
      <c r="I18" s="182">
        <f t="shared" si="0"/>
        <v>119806.875</v>
      </c>
      <c r="J18" s="186">
        <v>0</v>
      </c>
      <c r="K18" s="182">
        <f t="shared" si="1"/>
        <v>0</v>
      </c>
      <c r="L18" s="186" t="s">
        <v>53</v>
      </c>
      <c r="M18" s="188" t="s">
        <v>54</v>
      </c>
      <c r="N18" s="182"/>
    </row>
    <row r="19" spans="1:14" ht="78" x14ac:dyDescent="0.65">
      <c r="A19" s="185" t="s">
        <v>95</v>
      </c>
      <c r="B19" s="186" t="s">
        <v>96</v>
      </c>
      <c r="C19" s="186" t="s">
        <v>30</v>
      </c>
      <c r="D19" s="186">
        <v>300</v>
      </c>
      <c r="E19" s="186">
        <v>3.8</v>
      </c>
      <c r="F19" s="186">
        <v>9014</v>
      </c>
      <c r="G19" s="186">
        <v>2375</v>
      </c>
      <c r="H19" s="186">
        <v>0.15</v>
      </c>
      <c r="I19" s="182">
        <f t="shared" si="0"/>
        <v>1353.75</v>
      </c>
      <c r="J19" s="186">
        <v>0</v>
      </c>
      <c r="K19" s="182">
        <f t="shared" si="1"/>
        <v>0</v>
      </c>
      <c r="L19" s="186" t="s">
        <v>53</v>
      </c>
      <c r="M19" s="188" t="s">
        <v>54</v>
      </c>
      <c r="N19" s="182"/>
    </row>
    <row r="20" spans="1:14" ht="78" x14ac:dyDescent="0.65">
      <c r="A20" s="185" t="s">
        <v>95</v>
      </c>
      <c r="B20" s="186" t="s">
        <v>104</v>
      </c>
      <c r="C20" s="186" t="s">
        <v>30</v>
      </c>
      <c r="D20" s="186">
        <v>200</v>
      </c>
      <c r="E20" s="186">
        <v>16.3</v>
      </c>
      <c r="F20" s="186">
        <v>38202.800000000003</v>
      </c>
      <c r="G20" s="186">
        <v>2375</v>
      </c>
      <c r="H20" s="186">
        <v>0.15</v>
      </c>
      <c r="I20" s="182">
        <f t="shared" si="0"/>
        <v>5806.875</v>
      </c>
      <c r="J20" s="186">
        <v>0</v>
      </c>
      <c r="K20" s="182">
        <f t="shared" si="1"/>
        <v>0</v>
      </c>
      <c r="L20" s="186" t="s">
        <v>53</v>
      </c>
      <c r="M20" s="188" t="s">
        <v>54</v>
      </c>
      <c r="N20" s="182"/>
    </row>
    <row r="21" spans="1:14" ht="78" x14ac:dyDescent="0.65">
      <c r="A21" s="185" t="s">
        <v>50</v>
      </c>
      <c r="B21" s="186" t="s">
        <v>155</v>
      </c>
      <c r="C21" s="186" t="s">
        <v>52</v>
      </c>
      <c r="D21" s="186">
        <v>30</v>
      </c>
      <c r="E21" s="186">
        <v>7</v>
      </c>
      <c r="F21" s="186">
        <v>3545.9</v>
      </c>
      <c r="G21" s="186">
        <v>61</v>
      </c>
      <c r="H21" s="186">
        <v>1.5</v>
      </c>
      <c r="I21" s="182">
        <f t="shared" si="0"/>
        <v>640.5</v>
      </c>
      <c r="J21" s="186">
        <v>0</v>
      </c>
      <c r="K21" s="182">
        <f t="shared" si="1"/>
        <v>0</v>
      </c>
      <c r="L21" s="186" t="s">
        <v>53</v>
      </c>
      <c r="M21" s="188" t="s">
        <v>54</v>
      </c>
      <c r="N21" s="182"/>
    </row>
    <row r="22" spans="1:14" ht="52" x14ac:dyDescent="0.65">
      <c r="A22" s="185" t="s">
        <v>101</v>
      </c>
      <c r="B22" s="186" t="s">
        <v>155</v>
      </c>
      <c r="C22" s="186" t="s">
        <v>4</v>
      </c>
      <c r="D22" s="186">
        <v>50</v>
      </c>
      <c r="E22" s="186">
        <v>12</v>
      </c>
      <c r="F22" s="186">
        <v>21419.599999999999</v>
      </c>
      <c r="G22" s="186">
        <v>2353</v>
      </c>
      <c r="H22" s="186">
        <v>0.12</v>
      </c>
      <c r="I22" s="182">
        <f t="shared" si="0"/>
        <v>3388.3199999999997</v>
      </c>
      <c r="J22" s="186">
        <v>0</v>
      </c>
      <c r="K22" s="182">
        <f t="shared" si="1"/>
        <v>0</v>
      </c>
      <c r="L22" s="186" t="s">
        <v>53</v>
      </c>
      <c r="M22" s="188" t="s">
        <v>57</v>
      </c>
      <c r="N22" s="182"/>
    </row>
    <row r="23" spans="1:14" ht="52" x14ac:dyDescent="0.65">
      <c r="A23" s="185" t="s">
        <v>95</v>
      </c>
      <c r="B23" s="186" t="s">
        <v>155</v>
      </c>
      <c r="C23" s="186" t="s">
        <v>31</v>
      </c>
      <c r="D23" s="186">
        <v>270</v>
      </c>
      <c r="E23" s="186">
        <v>64.5</v>
      </c>
      <c r="F23" s="186">
        <v>83545.5</v>
      </c>
      <c r="G23" s="186">
        <v>382</v>
      </c>
      <c r="H23" s="186">
        <v>0.17</v>
      </c>
      <c r="I23" s="182">
        <f t="shared" si="0"/>
        <v>4188.63</v>
      </c>
      <c r="J23" s="186">
        <v>0</v>
      </c>
      <c r="K23" s="182">
        <f t="shared" si="1"/>
        <v>0</v>
      </c>
      <c r="L23" s="186" t="s">
        <v>53</v>
      </c>
      <c r="M23" s="188" t="s">
        <v>54</v>
      </c>
      <c r="N23" s="182"/>
    </row>
    <row r="24" spans="1:14" ht="78" x14ac:dyDescent="0.65">
      <c r="A24" s="185" t="s">
        <v>50</v>
      </c>
      <c r="B24" s="186" t="s">
        <v>154</v>
      </c>
      <c r="C24" s="186" t="s">
        <v>52</v>
      </c>
      <c r="D24" s="186">
        <v>30</v>
      </c>
      <c r="E24" s="186">
        <v>47.5</v>
      </c>
      <c r="F24" s="186">
        <v>25438</v>
      </c>
      <c r="G24" s="186">
        <v>61</v>
      </c>
      <c r="H24" s="186">
        <v>1.5</v>
      </c>
      <c r="I24" s="182">
        <f t="shared" si="0"/>
        <v>4346.25</v>
      </c>
      <c r="J24" s="186">
        <v>0</v>
      </c>
      <c r="K24" s="182">
        <f t="shared" si="1"/>
        <v>0</v>
      </c>
      <c r="L24" s="186" t="s">
        <v>53</v>
      </c>
      <c r="M24" s="188" t="s">
        <v>57</v>
      </c>
      <c r="N24" s="182"/>
    </row>
    <row r="25" spans="1:14" ht="52" x14ac:dyDescent="0.65">
      <c r="A25" s="185" t="s">
        <v>101</v>
      </c>
      <c r="B25" s="186" t="s">
        <v>154</v>
      </c>
      <c r="C25" s="186" t="s">
        <v>4</v>
      </c>
      <c r="D25" s="186">
        <v>50</v>
      </c>
      <c r="E25" s="186">
        <v>81</v>
      </c>
      <c r="F25" s="186">
        <v>152630.5</v>
      </c>
      <c r="G25" s="186">
        <v>2353</v>
      </c>
      <c r="H25" s="186">
        <v>0.12</v>
      </c>
      <c r="I25" s="182">
        <f t="shared" si="0"/>
        <v>22871.16</v>
      </c>
      <c r="J25" s="186">
        <v>0</v>
      </c>
      <c r="K25" s="182">
        <f t="shared" si="1"/>
        <v>0</v>
      </c>
      <c r="L25" s="186" t="s">
        <v>53</v>
      </c>
      <c r="M25" s="188" t="s">
        <v>57</v>
      </c>
      <c r="N25" s="182"/>
    </row>
    <row r="26" spans="1:14" ht="52" x14ac:dyDescent="0.65">
      <c r="A26" s="185" t="s">
        <v>95</v>
      </c>
      <c r="B26" s="186" t="s">
        <v>154</v>
      </c>
      <c r="C26" s="186" t="s">
        <v>31</v>
      </c>
      <c r="D26" s="186">
        <v>270</v>
      </c>
      <c r="E26" s="186">
        <v>456.5</v>
      </c>
      <c r="F26" s="186">
        <v>595258.6</v>
      </c>
      <c r="G26" s="186">
        <v>382</v>
      </c>
      <c r="H26" s="186">
        <v>0.17</v>
      </c>
      <c r="I26" s="182">
        <f t="shared" si="0"/>
        <v>29645.11</v>
      </c>
      <c r="J26" s="186">
        <v>0</v>
      </c>
      <c r="K26" s="182">
        <f t="shared" si="1"/>
        <v>0</v>
      </c>
      <c r="L26" s="186" t="s">
        <v>53</v>
      </c>
      <c r="M26" s="188" t="s">
        <v>54</v>
      </c>
      <c r="N26" s="182"/>
    </row>
    <row r="27" spans="1:14" ht="52" x14ac:dyDescent="0.65">
      <c r="A27" s="185" t="s">
        <v>94</v>
      </c>
      <c r="B27" s="186" t="s">
        <v>91</v>
      </c>
      <c r="C27" s="186" t="s">
        <v>28</v>
      </c>
      <c r="D27" s="186">
        <v>2</v>
      </c>
      <c r="E27" s="186">
        <v>1.2</v>
      </c>
      <c r="F27" s="186">
        <v>8553</v>
      </c>
      <c r="G27" s="186">
        <v>7850</v>
      </c>
      <c r="H27" s="186">
        <v>3.1</v>
      </c>
      <c r="I27" s="182">
        <f t="shared" si="0"/>
        <v>29202</v>
      </c>
      <c r="J27" s="186">
        <v>0</v>
      </c>
      <c r="K27" s="182">
        <f t="shared" si="1"/>
        <v>0</v>
      </c>
      <c r="L27" s="186" t="s">
        <v>53</v>
      </c>
      <c r="M27" s="188" t="s">
        <v>54</v>
      </c>
      <c r="N27" s="182"/>
    </row>
    <row r="28" spans="1:14" ht="52" x14ac:dyDescent="0.65">
      <c r="A28" s="185" t="s">
        <v>90</v>
      </c>
      <c r="B28" s="186" t="s">
        <v>91</v>
      </c>
      <c r="C28" s="186" t="s">
        <v>22</v>
      </c>
      <c r="D28" s="186">
        <v>25</v>
      </c>
      <c r="E28" s="186">
        <v>14.8</v>
      </c>
      <c r="F28" s="186">
        <v>7424.4</v>
      </c>
      <c r="G28" s="186">
        <v>474</v>
      </c>
      <c r="H28" s="186">
        <v>0.09</v>
      </c>
      <c r="I28" s="182">
        <f t="shared" si="0"/>
        <v>631.36800000000005</v>
      </c>
      <c r="J28" s="186">
        <v>1.6</v>
      </c>
      <c r="K28" s="182">
        <f t="shared" si="1"/>
        <v>11224.320000000002</v>
      </c>
      <c r="L28" s="186" t="s">
        <v>53</v>
      </c>
      <c r="M28" s="188" t="s">
        <v>54</v>
      </c>
      <c r="N28" s="182"/>
    </row>
    <row r="29" spans="1:14" ht="104" x14ac:dyDescent="0.65">
      <c r="A29" s="185" t="s">
        <v>55</v>
      </c>
      <c r="B29" s="186" t="s">
        <v>88</v>
      </c>
      <c r="C29" s="186" t="s">
        <v>56</v>
      </c>
      <c r="D29" s="186">
        <v>100</v>
      </c>
      <c r="E29" s="186">
        <v>6</v>
      </c>
      <c r="F29" s="186">
        <v>14181.2</v>
      </c>
      <c r="G29" s="186">
        <v>2363</v>
      </c>
      <c r="H29" s="186">
        <v>0.14000000000000001</v>
      </c>
      <c r="I29" s="182">
        <f t="shared" si="0"/>
        <v>1984.9200000000003</v>
      </c>
      <c r="J29" s="186">
        <v>0</v>
      </c>
      <c r="K29" s="182">
        <f t="shared" si="1"/>
        <v>0</v>
      </c>
      <c r="L29" s="186" t="s">
        <v>53</v>
      </c>
      <c r="M29" s="188" t="s">
        <v>57</v>
      </c>
      <c r="N29" s="182"/>
    </row>
    <row r="30" spans="1:14" ht="104" x14ac:dyDescent="0.65">
      <c r="A30" s="185" t="s">
        <v>50</v>
      </c>
      <c r="B30" s="186" t="s">
        <v>88</v>
      </c>
      <c r="C30" s="186" t="s">
        <v>52</v>
      </c>
      <c r="D30" s="186">
        <v>140</v>
      </c>
      <c r="E30" s="186">
        <v>8.3000000000000007</v>
      </c>
      <c r="F30" s="186">
        <v>4163.8</v>
      </c>
      <c r="G30" s="186">
        <v>61</v>
      </c>
      <c r="H30" s="186">
        <v>1.5</v>
      </c>
      <c r="I30" s="182">
        <f t="shared" si="0"/>
        <v>759.45</v>
      </c>
      <c r="J30" s="186">
        <v>0</v>
      </c>
      <c r="K30" s="182">
        <f t="shared" si="1"/>
        <v>0</v>
      </c>
      <c r="L30" s="186" t="s">
        <v>53</v>
      </c>
      <c r="M30" s="188" t="s">
        <v>54</v>
      </c>
      <c r="N30" s="182"/>
    </row>
    <row r="31" spans="1:14" ht="104" x14ac:dyDescent="0.65">
      <c r="A31" s="185" t="s">
        <v>58</v>
      </c>
      <c r="B31" s="186" t="s">
        <v>88</v>
      </c>
      <c r="C31" s="186" t="s">
        <v>32</v>
      </c>
      <c r="D31" s="186">
        <v>300</v>
      </c>
      <c r="E31" s="186">
        <v>16.7</v>
      </c>
      <c r="F31" s="186">
        <v>39929.599999999999</v>
      </c>
      <c r="G31" s="186">
        <v>2400</v>
      </c>
      <c r="H31" s="186">
        <v>0.19</v>
      </c>
      <c r="I31" s="182">
        <f t="shared" si="0"/>
        <v>7615.2</v>
      </c>
      <c r="J31" s="186">
        <v>0</v>
      </c>
      <c r="K31" s="182">
        <f t="shared" si="1"/>
        <v>0</v>
      </c>
      <c r="L31" s="186" t="s">
        <v>53</v>
      </c>
      <c r="M31" s="188" t="s">
        <v>54</v>
      </c>
      <c r="N31" s="182"/>
    </row>
    <row r="32" spans="1:14" ht="104" x14ac:dyDescent="0.65">
      <c r="A32" s="185" t="s">
        <v>55</v>
      </c>
      <c r="B32" s="186" t="s">
        <v>51</v>
      </c>
      <c r="C32" s="186" t="s">
        <v>56</v>
      </c>
      <c r="D32" s="186">
        <v>70</v>
      </c>
      <c r="E32" s="186">
        <v>75.5</v>
      </c>
      <c r="F32" s="186">
        <v>177945.5</v>
      </c>
      <c r="G32" s="186">
        <v>2363</v>
      </c>
      <c r="H32" s="186">
        <v>0.14000000000000001</v>
      </c>
      <c r="I32" s="182">
        <f t="shared" si="0"/>
        <v>24976.910000000003</v>
      </c>
      <c r="J32" s="186">
        <v>0</v>
      </c>
      <c r="K32" s="182">
        <f t="shared" si="1"/>
        <v>0</v>
      </c>
      <c r="L32" s="186" t="s">
        <v>53</v>
      </c>
      <c r="M32" s="188" t="s">
        <v>57</v>
      </c>
      <c r="N32" s="182"/>
    </row>
    <row r="33" spans="1:14" ht="104" x14ac:dyDescent="0.65">
      <c r="A33" s="185" t="s">
        <v>58</v>
      </c>
      <c r="B33" s="186" t="s">
        <v>51</v>
      </c>
      <c r="C33" s="186" t="s">
        <v>32</v>
      </c>
      <c r="D33" s="186">
        <v>150</v>
      </c>
      <c r="E33" s="186">
        <v>153</v>
      </c>
      <c r="F33" s="186">
        <v>367328</v>
      </c>
      <c r="G33" s="186">
        <v>2400</v>
      </c>
      <c r="H33" s="186">
        <v>0.19</v>
      </c>
      <c r="I33" s="182">
        <f t="shared" si="0"/>
        <v>69768</v>
      </c>
      <c r="J33" s="186">
        <v>0</v>
      </c>
      <c r="K33" s="182">
        <f t="shared" si="1"/>
        <v>0</v>
      </c>
      <c r="L33" s="186" t="s">
        <v>53</v>
      </c>
      <c r="M33" s="188" t="s">
        <v>54</v>
      </c>
      <c r="N33" s="182"/>
    </row>
    <row r="34" spans="1:14" ht="104" x14ac:dyDescent="0.65">
      <c r="A34" s="185" t="s">
        <v>50</v>
      </c>
      <c r="B34" s="186" t="s">
        <v>51</v>
      </c>
      <c r="C34" s="186" t="s">
        <v>52</v>
      </c>
      <c r="D34" s="186">
        <v>250</v>
      </c>
      <c r="E34" s="186">
        <v>265.5</v>
      </c>
      <c r="F34" s="186">
        <v>132783.5</v>
      </c>
      <c r="G34" s="186">
        <v>61</v>
      </c>
      <c r="H34" s="186">
        <v>1.5</v>
      </c>
      <c r="I34" s="182">
        <f t="shared" si="0"/>
        <v>24293.25</v>
      </c>
      <c r="J34" s="186">
        <v>0</v>
      </c>
      <c r="K34" s="182">
        <f t="shared" si="1"/>
        <v>0</v>
      </c>
      <c r="L34" s="186" t="s">
        <v>53</v>
      </c>
      <c r="M34" s="188" t="s">
        <v>54</v>
      </c>
      <c r="N34" s="182"/>
    </row>
    <row r="35" spans="1:14" ht="52" x14ac:dyDescent="0.65">
      <c r="A35" s="185" t="s">
        <v>70</v>
      </c>
      <c r="B35" s="186" t="s">
        <v>60</v>
      </c>
      <c r="C35" s="186" t="s">
        <v>71</v>
      </c>
      <c r="D35" s="186">
        <v>25</v>
      </c>
      <c r="E35" s="186">
        <v>1.4</v>
      </c>
      <c r="F35" s="186">
        <v>296</v>
      </c>
      <c r="G35" s="186">
        <v>60</v>
      </c>
      <c r="H35" s="186">
        <v>1.02</v>
      </c>
      <c r="I35" s="182">
        <f t="shared" si="0"/>
        <v>85.68</v>
      </c>
      <c r="J35" s="186">
        <v>1.1000000000000001</v>
      </c>
      <c r="K35" s="182">
        <f t="shared" si="1"/>
        <v>92.4</v>
      </c>
      <c r="L35" s="186" t="s">
        <v>53</v>
      </c>
      <c r="M35" s="188" t="s">
        <v>54</v>
      </c>
      <c r="N35" s="182"/>
    </row>
    <row r="36" spans="1:14" ht="52" x14ac:dyDescent="0.65">
      <c r="A36" s="185" t="s">
        <v>78</v>
      </c>
      <c r="B36" s="186" t="s">
        <v>60</v>
      </c>
      <c r="C36" s="186" t="s">
        <v>26</v>
      </c>
      <c r="D36" s="186">
        <v>28</v>
      </c>
      <c r="E36" s="186">
        <v>1.6</v>
      </c>
      <c r="F36" s="186">
        <v>1160.5999999999999</v>
      </c>
      <c r="G36" s="186">
        <v>474</v>
      </c>
      <c r="H36" s="186">
        <v>0.09</v>
      </c>
      <c r="I36" s="182">
        <f t="shared" si="0"/>
        <v>68.256</v>
      </c>
      <c r="J36" s="186">
        <v>1.6</v>
      </c>
      <c r="K36" s="182">
        <f t="shared" si="1"/>
        <v>1213.4400000000003</v>
      </c>
      <c r="L36" s="186" t="s">
        <v>53</v>
      </c>
      <c r="M36" s="188" t="s">
        <v>57</v>
      </c>
      <c r="N36" s="182"/>
    </row>
    <row r="37" spans="1:14" ht="52" x14ac:dyDescent="0.65">
      <c r="A37" s="185" t="s">
        <v>59</v>
      </c>
      <c r="B37" s="186" t="s">
        <v>60</v>
      </c>
      <c r="C37" s="186" t="s">
        <v>61</v>
      </c>
      <c r="D37" s="186">
        <v>32</v>
      </c>
      <c r="E37" s="186">
        <v>1.8</v>
      </c>
      <c r="F37" s="186">
        <v>2.2000000000000002</v>
      </c>
      <c r="G37" s="186">
        <v>0</v>
      </c>
      <c r="H37" s="186">
        <v>0</v>
      </c>
      <c r="I37" s="182">
        <f t="shared" si="0"/>
        <v>0</v>
      </c>
      <c r="J37" s="186">
        <v>0</v>
      </c>
      <c r="K37" s="182">
        <f t="shared" si="1"/>
        <v>0</v>
      </c>
      <c r="L37" s="186" t="s">
        <v>53</v>
      </c>
      <c r="M37" s="188" t="s">
        <v>57</v>
      </c>
      <c r="N37" s="182"/>
    </row>
    <row r="38" spans="1:14" ht="78" x14ac:dyDescent="0.65">
      <c r="A38" s="185" t="s">
        <v>95</v>
      </c>
      <c r="B38" s="186" t="s">
        <v>106</v>
      </c>
      <c r="C38" s="186" t="s">
        <v>30</v>
      </c>
      <c r="D38" s="186">
        <v>440</v>
      </c>
      <c r="E38" s="186">
        <v>31.6</v>
      </c>
      <c r="F38" s="186">
        <v>75898.3</v>
      </c>
      <c r="G38" s="186">
        <v>2375</v>
      </c>
      <c r="H38" s="186">
        <v>0.15</v>
      </c>
      <c r="I38" s="182">
        <f t="shared" si="0"/>
        <v>11257.5</v>
      </c>
      <c r="J38" s="186">
        <v>0</v>
      </c>
      <c r="K38" s="182">
        <f t="shared" si="1"/>
        <v>0</v>
      </c>
      <c r="L38" s="186" t="s">
        <v>53</v>
      </c>
      <c r="M38" s="188" t="s">
        <v>54</v>
      </c>
      <c r="N38" s="182"/>
    </row>
    <row r="39" spans="1:14" ht="78" x14ac:dyDescent="0.65">
      <c r="A39" s="185" t="s">
        <v>95</v>
      </c>
      <c r="B39" s="186" t="s">
        <v>77</v>
      </c>
      <c r="C39" s="186" t="s">
        <v>30</v>
      </c>
      <c r="D39" s="186">
        <v>100</v>
      </c>
      <c r="E39" s="186">
        <v>27.1</v>
      </c>
      <c r="F39" s="186">
        <v>65022.3</v>
      </c>
      <c r="G39" s="186">
        <v>2375</v>
      </c>
      <c r="H39" s="186">
        <v>0.15</v>
      </c>
      <c r="I39" s="182">
        <f t="shared" si="0"/>
        <v>9654.375</v>
      </c>
      <c r="J39" s="186">
        <v>0</v>
      </c>
      <c r="K39" s="182">
        <f t="shared" si="1"/>
        <v>0</v>
      </c>
      <c r="L39" s="186" t="s">
        <v>53</v>
      </c>
      <c r="M39" s="188" t="s">
        <v>54</v>
      </c>
      <c r="N39" s="182"/>
    </row>
    <row r="40" spans="1:14" ht="52" x14ac:dyDescent="0.65">
      <c r="A40" s="185" t="s">
        <v>72</v>
      </c>
      <c r="B40" s="186" t="s">
        <v>77</v>
      </c>
      <c r="C40" s="186" t="s">
        <v>74</v>
      </c>
      <c r="D40" s="186">
        <v>140</v>
      </c>
      <c r="E40" s="186">
        <v>37.6</v>
      </c>
      <c r="F40" s="186">
        <v>1051.9000000000001</v>
      </c>
      <c r="G40" s="186">
        <v>16</v>
      </c>
      <c r="H40" s="186">
        <v>3.5</v>
      </c>
      <c r="I40" s="182">
        <f t="shared" si="0"/>
        <v>2105.6</v>
      </c>
      <c r="J40" s="186">
        <v>0</v>
      </c>
      <c r="K40" s="182">
        <f t="shared" si="1"/>
        <v>0</v>
      </c>
      <c r="L40" s="186" t="s">
        <v>53</v>
      </c>
      <c r="M40" s="188" t="s">
        <v>54</v>
      </c>
      <c r="N40" s="182"/>
    </row>
    <row r="41" spans="1:14" ht="78" x14ac:dyDescent="0.65">
      <c r="A41" s="185" t="s">
        <v>95</v>
      </c>
      <c r="B41" s="186" t="s">
        <v>77</v>
      </c>
      <c r="C41" s="186" t="s">
        <v>30</v>
      </c>
      <c r="D41" s="186">
        <v>200</v>
      </c>
      <c r="E41" s="186">
        <v>52.1</v>
      </c>
      <c r="F41" s="186">
        <v>125087.3</v>
      </c>
      <c r="G41" s="186">
        <v>2375</v>
      </c>
      <c r="H41" s="186">
        <v>0.15</v>
      </c>
      <c r="I41" s="182">
        <f t="shared" si="0"/>
        <v>18560.625</v>
      </c>
      <c r="J41" s="186">
        <v>0</v>
      </c>
      <c r="K41" s="182">
        <f t="shared" si="1"/>
        <v>0</v>
      </c>
      <c r="L41" s="186" t="s">
        <v>53</v>
      </c>
      <c r="M41" s="188" t="s">
        <v>54</v>
      </c>
      <c r="N41" s="182"/>
    </row>
    <row r="42" spans="1:14" ht="78" x14ac:dyDescent="0.65">
      <c r="A42" s="185" t="s">
        <v>55</v>
      </c>
      <c r="B42" s="186" t="s">
        <v>73</v>
      </c>
      <c r="C42" s="186" t="s">
        <v>56</v>
      </c>
      <c r="D42" s="186">
        <v>150</v>
      </c>
      <c r="E42" s="186">
        <v>8.3000000000000007</v>
      </c>
      <c r="F42" s="186">
        <v>19539.400000000001</v>
      </c>
      <c r="G42" s="186">
        <v>2363</v>
      </c>
      <c r="H42" s="186">
        <v>0.14000000000000001</v>
      </c>
      <c r="I42" s="182">
        <f t="shared" si="0"/>
        <v>2745.8060000000005</v>
      </c>
      <c r="J42" s="186">
        <v>0</v>
      </c>
      <c r="K42" s="182">
        <f t="shared" si="1"/>
        <v>0</v>
      </c>
      <c r="L42" s="186" t="s">
        <v>53</v>
      </c>
      <c r="M42" s="188" t="s">
        <v>57</v>
      </c>
      <c r="N42" s="182"/>
    </row>
    <row r="43" spans="1:14" ht="78" x14ac:dyDescent="0.65">
      <c r="A43" s="185" t="s">
        <v>72</v>
      </c>
      <c r="B43" s="186" t="s">
        <v>73</v>
      </c>
      <c r="C43" s="186" t="s">
        <v>74</v>
      </c>
      <c r="D43" s="186">
        <v>250</v>
      </c>
      <c r="E43" s="186">
        <v>13.9</v>
      </c>
      <c r="F43" s="186">
        <v>388.1</v>
      </c>
      <c r="G43" s="186">
        <v>16</v>
      </c>
      <c r="H43" s="186">
        <v>3.5</v>
      </c>
      <c r="I43" s="182">
        <f t="shared" si="0"/>
        <v>778.4</v>
      </c>
      <c r="J43" s="186">
        <v>0</v>
      </c>
      <c r="K43" s="182">
        <f t="shared" si="1"/>
        <v>0</v>
      </c>
      <c r="L43" s="186" t="s">
        <v>53</v>
      </c>
      <c r="M43" s="188" t="s">
        <v>54</v>
      </c>
      <c r="N43" s="182"/>
    </row>
    <row r="44" spans="1:14" ht="78" x14ac:dyDescent="0.65">
      <c r="A44" s="185" t="s">
        <v>55</v>
      </c>
      <c r="B44" s="186" t="s">
        <v>84</v>
      </c>
      <c r="C44" s="186" t="s">
        <v>56</v>
      </c>
      <c r="D44" s="186">
        <v>100</v>
      </c>
      <c r="E44" s="186">
        <v>34.700000000000003</v>
      </c>
      <c r="F44" s="186">
        <v>81845.100000000006</v>
      </c>
      <c r="G44" s="186">
        <v>2363</v>
      </c>
      <c r="H44" s="186">
        <v>0.14000000000000001</v>
      </c>
      <c r="I44" s="182">
        <f t="shared" si="0"/>
        <v>11479.454000000002</v>
      </c>
      <c r="J44" s="186">
        <v>0</v>
      </c>
      <c r="K44" s="182">
        <f t="shared" si="1"/>
        <v>0</v>
      </c>
      <c r="L44" s="186" t="s">
        <v>53</v>
      </c>
      <c r="M44" s="188" t="s">
        <v>57</v>
      </c>
      <c r="N44" s="182"/>
    </row>
    <row r="45" spans="1:14" ht="78" x14ac:dyDescent="0.65">
      <c r="A45" s="185" t="s">
        <v>72</v>
      </c>
      <c r="B45" s="186" t="s">
        <v>84</v>
      </c>
      <c r="C45" s="186" t="s">
        <v>74</v>
      </c>
      <c r="D45" s="186">
        <v>300</v>
      </c>
      <c r="E45" s="186">
        <v>104.5</v>
      </c>
      <c r="F45" s="186">
        <v>2917.9</v>
      </c>
      <c r="G45" s="186">
        <v>16</v>
      </c>
      <c r="H45" s="186">
        <v>3.5</v>
      </c>
      <c r="I45" s="182">
        <f t="shared" si="0"/>
        <v>5852</v>
      </c>
      <c r="J45" s="186">
        <v>0</v>
      </c>
      <c r="K45" s="182">
        <f t="shared" si="1"/>
        <v>0</v>
      </c>
      <c r="L45" s="186" t="s">
        <v>53</v>
      </c>
      <c r="M45" s="188" t="s">
        <v>54</v>
      </c>
      <c r="N45" s="182"/>
    </row>
    <row r="46" spans="1:14" ht="78" x14ac:dyDescent="0.65">
      <c r="A46" s="185" t="s">
        <v>58</v>
      </c>
      <c r="B46" s="186" t="s">
        <v>166</v>
      </c>
      <c r="C46" s="186" t="s">
        <v>32</v>
      </c>
      <c r="D46" s="186">
        <v>540</v>
      </c>
      <c r="E46" s="186">
        <v>17.600000000000001</v>
      </c>
      <c r="F46" s="186">
        <v>42896.4</v>
      </c>
      <c r="G46" s="186">
        <v>2400</v>
      </c>
      <c r="H46" s="186">
        <v>0.19</v>
      </c>
      <c r="I46" s="182">
        <f t="shared" si="0"/>
        <v>8025.6</v>
      </c>
      <c r="J46" s="186">
        <v>0</v>
      </c>
      <c r="K46" s="182">
        <f t="shared" si="1"/>
        <v>0</v>
      </c>
      <c r="L46" s="186" t="s">
        <v>53</v>
      </c>
      <c r="M46" s="188" t="s">
        <v>54</v>
      </c>
      <c r="N46" s="182"/>
    </row>
    <row r="47" spans="1:14" ht="78" x14ac:dyDescent="0.65">
      <c r="A47" s="185" t="s">
        <v>58</v>
      </c>
      <c r="B47" s="186" t="s">
        <v>166</v>
      </c>
      <c r="C47" s="186" t="s">
        <v>32</v>
      </c>
      <c r="D47" s="186">
        <v>740</v>
      </c>
      <c r="E47" s="186">
        <v>20.399999999999999</v>
      </c>
      <c r="F47" s="186">
        <v>49174.7</v>
      </c>
      <c r="G47" s="186">
        <v>2400</v>
      </c>
      <c r="H47" s="186">
        <v>0.19</v>
      </c>
      <c r="I47" s="182">
        <f t="shared" si="0"/>
        <v>9302.4</v>
      </c>
      <c r="J47" s="186">
        <v>0</v>
      </c>
      <c r="K47" s="182">
        <f t="shared" si="1"/>
        <v>0</v>
      </c>
      <c r="L47" s="186" t="s">
        <v>53</v>
      </c>
      <c r="M47" s="188" t="s">
        <v>54</v>
      </c>
      <c r="N47" s="182"/>
    </row>
    <row r="48" spans="1:14" ht="52" x14ac:dyDescent="0.65">
      <c r="A48" s="185" t="s">
        <v>81</v>
      </c>
      <c r="B48" s="186" t="s">
        <v>82</v>
      </c>
      <c r="C48" s="186" t="s">
        <v>18</v>
      </c>
      <c r="D48" s="186">
        <v>5</v>
      </c>
      <c r="E48" s="186">
        <v>0</v>
      </c>
      <c r="F48" s="186">
        <v>1523.5</v>
      </c>
      <c r="G48" s="186">
        <v>1620</v>
      </c>
      <c r="H48" s="186">
        <v>0.16</v>
      </c>
      <c r="I48" s="182">
        <f t="shared" si="0"/>
        <v>0</v>
      </c>
      <c r="J48" s="189">
        <v>0</v>
      </c>
      <c r="K48" s="182">
        <f t="shared" si="1"/>
        <v>0</v>
      </c>
      <c r="L48" s="186" t="s">
        <v>53</v>
      </c>
      <c r="M48" s="188" t="s">
        <v>83</v>
      </c>
      <c r="N48" s="182"/>
    </row>
    <row r="49" spans="1:17" ht="26" x14ac:dyDescent="0.65">
      <c r="A49" s="186" t="s">
        <v>109</v>
      </c>
      <c r="B49" s="182"/>
      <c r="C49" s="186" t="s">
        <v>109</v>
      </c>
      <c r="D49" s="186" t="s">
        <v>109</v>
      </c>
      <c r="E49" s="186">
        <v>1751</v>
      </c>
      <c r="F49" s="186" t="s">
        <v>109</v>
      </c>
      <c r="G49" s="186" t="s">
        <v>109</v>
      </c>
      <c r="H49" s="188">
        <v>1751</v>
      </c>
      <c r="I49" s="190">
        <f>SUM(I6:I48)</f>
        <v>517335.16500000004</v>
      </c>
      <c r="J49" s="191">
        <f t="shared" ref="J49:K49" si="2">SUM(J6:J48)</f>
        <v>4.3000000000000007</v>
      </c>
      <c r="K49" s="192">
        <f t="shared" si="2"/>
        <v>12530.160000000002</v>
      </c>
      <c r="L49" s="185" t="s">
        <v>109</v>
      </c>
      <c r="M49" s="186" t="s">
        <v>109</v>
      </c>
      <c r="N49" s="182"/>
    </row>
    <row r="50" spans="1:17" ht="26" x14ac:dyDescent="0.65">
      <c r="A50" s="182"/>
      <c r="B50" s="182"/>
      <c r="C50" s="182"/>
      <c r="D50" s="182"/>
      <c r="E50" s="182"/>
      <c r="F50" s="182"/>
      <c r="G50" s="182"/>
      <c r="H50" s="182"/>
      <c r="I50" s="182"/>
      <c r="J50" s="182"/>
      <c r="K50" s="182"/>
      <c r="L50" s="182"/>
      <c r="M50" s="182"/>
      <c r="N50" s="182"/>
    </row>
    <row r="51" spans="1:17" ht="26.5" thickBot="1" x14ac:dyDescent="0.7">
      <c r="A51" s="182"/>
      <c r="B51" s="182"/>
      <c r="C51" s="182"/>
      <c r="D51" s="182"/>
      <c r="E51" s="182"/>
      <c r="F51" s="182">
        <f>SUM(Table7[Massa])</f>
        <v>3475602.0999999996</v>
      </c>
      <c r="G51" s="182" t="s">
        <v>222</v>
      </c>
      <c r="H51" s="182"/>
      <c r="I51" s="182"/>
      <c r="J51" s="182"/>
      <c r="K51" s="182"/>
      <c r="L51" s="182"/>
      <c r="M51" s="182"/>
      <c r="N51" s="182"/>
    </row>
    <row r="52" spans="1:17" ht="26" x14ac:dyDescent="0.65">
      <c r="A52" s="182"/>
      <c r="B52" s="182"/>
      <c r="C52" s="182"/>
      <c r="D52" s="182"/>
      <c r="E52" s="182"/>
      <c r="F52" s="182">
        <f>F51/1000</f>
        <v>3475.6020999999996</v>
      </c>
      <c r="G52" s="182" t="s">
        <v>352</v>
      </c>
      <c r="H52" s="182"/>
      <c r="I52" s="182"/>
      <c r="J52" s="193">
        <f>I49-K49</f>
        <v>504805.00500000006</v>
      </c>
      <c r="K52" s="194" t="s">
        <v>44</v>
      </c>
      <c r="L52" s="182"/>
      <c r="M52" s="182"/>
      <c r="N52" s="182"/>
    </row>
    <row r="53" spans="1:17" ht="26.5" thickBot="1" x14ac:dyDescent="0.7">
      <c r="A53" s="182"/>
      <c r="B53" s="182"/>
      <c r="C53" s="182"/>
      <c r="D53" s="182"/>
      <c r="E53" s="182"/>
      <c r="F53" s="182"/>
      <c r="G53" s="182"/>
      <c r="H53" s="182"/>
      <c r="I53" s="182"/>
      <c r="J53" s="195">
        <f>J52/1000</f>
        <v>504.80500500000005</v>
      </c>
      <c r="K53" s="196" t="s">
        <v>110</v>
      </c>
      <c r="L53" s="182"/>
      <c r="M53" s="182"/>
      <c r="N53" s="182"/>
    </row>
    <row r="54" spans="1:17" ht="26" x14ac:dyDescent="0.65">
      <c r="A54" s="182"/>
      <c r="B54" s="182"/>
      <c r="C54" s="182"/>
      <c r="D54" s="182"/>
      <c r="E54" s="182"/>
      <c r="F54" s="197">
        <f>F51*10</f>
        <v>34756021</v>
      </c>
      <c r="G54" s="182" t="s">
        <v>353</v>
      </c>
      <c r="H54" s="182"/>
      <c r="I54" s="182"/>
      <c r="J54" s="182"/>
      <c r="K54" s="182"/>
      <c r="L54" s="182"/>
      <c r="M54" s="182"/>
      <c r="N54" s="182"/>
    </row>
    <row r="55" spans="1:17" ht="26" x14ac:dyDescent="0.65">
      <c r="A55" s="182"/>
      <c r="B55" s="182"/>
      <c r="C55" s="182"/>
      <c r="D55" s="182"/>
      <c r="E55" s="182"/>
      <c r="F55" s="197">
        <f>F54/1000</f>
        <v>34756.021000000001</v>
      </c>
      <c r="G55" s="182" t="s">
        <v>354</v>
      </c>
      <c r="H55" s="182"/>
      <c r="I55" s="182"/>
      <c r="J55" s="182"/>
      <c r="K55" s="182"/>
      <c r="L55" s="182"/>
      <c r="M55" s="182"/>
      <c r="N55" s="182"/>
    </row>
    <row r="56" spans="1:17" ht="26" x14ac:dyDescent="0.65">
      <c r="A56" s="182"/>
      <c r="B56" s="182"/>
      <c r="C56" s="182"/>
      <c r="D56" s="182"/>
      <c r="E56" s="182"/>
      <c r="F56" s="182"/>
      <c r="G56" s="182"/>
      <c r="H56" s="182"/>
      <c r="I56" s="182"/>
      <c r="J56" s="182"/>
      <c r="K56" s="182"/>
      <c r="L56" s="182"/>
      <c r="M56" s="182"/>
      <c r="N56" s="182"/>
    </row>
    <row r="61" spans="1:17" x14ac:dyDescent="0.35">
      <c r="B61" s="51"/>
      <c r="C61" s="52"/>
      <c r="D61" s="52"/>
      <c r="E61" s="52"/>
      <c r="F61" s="52"/>
      <c r="G61" s="52"/>
      <c r="H61" s="52"/>
      <c r="I61" s="52"/>
      <c r="J61" s="52"/>
      <c r="K61" s="52"/>
      <c r="L61" s="52"/>
      <c r="M61" s="52"/>
      <c r="N61" s="52"/>
      <c r="O61" s="52"/>
      <c r="P61" s="52"/>
      <c r="Q61" s="53"/>
    </row>
    <row r="62" spans="1:17" ht="67.5" x14ac:dyDescent="0.35">
      <c r="A62" s="198" t="s">
        <v>36</v>
      </c>
      <c r="B62" s="41" t="s">
        <v>37</v>
      </c>
      <c r="C62" s="42" t="s">
        <v>38</v>
      </c>
      <c r="D62" s="42" t="s">
        <v>39</v>
      </c>
      <c r="E62" s="42" t="s">
        <v>40</v>
      </c>
      <c r="F62" s="42" t="s">
        <v>41</v>
      </c>
      <c r="G62" s="42" t="s">
        <v>42</v>
      </c>
      <c r="H62" s="42" t="s">
        <v>43</v>
      </c>
      <c r="I62" s="42" t="s">
        <v>44</v>
      </c>
      <c r="J62" s="42" t="s">
        <v>45</v>
      </c>
      <c r="K62" s="42" t="s">
        <v>44</v>
      </c>
      <c r="L62" s="42" t="s">
        <v>152</v>
      </c>
      <c r="M62" s="42" t="s">
        <v>47</v>
      </c>
      <c r="N62" s="43"/>
      <c r="O62" s="43"/>
      <c r="P62" s="43"/>
      <c r="Q62" s="44"/>
    </row>
    <row r="63" spans="1:17" ht="67.5" x14ac:dyDescent="0.45">
      <c r="A63" s="199" t="s">
        <v>58</v>
      </c>
      <c r="B63" s="45" t="s">
        <v>166</v>
      </c>
      <c r="C63" s="39" t="s">
        <v>32</v>
      </c>
      <c r="D63" s="39">
        <v>540</v>
      </c>
      <c r="E63" s="39">
        <v>17.600000000000001</v>
      </c>
      <c r="F63" s="39">
        <v>42896.4</v>
      </c>
      <c r="G63" s="39">
        <v>2400</v>
      </c>
      <c r="H63" s="39">
        <v>0.19</v>
      </c>
      <c r="I63" s="40">
        <f t="shared" ref="I63:I105" si="3">(E63*G63)*H63</f>
        <v>8025.6</v>
      </c>
      <c r="J63" s="39">
        <v>0</v>
      </c>
      <c r="K63" s="40">
        <f t="shared" ref="K63:K105" si="4">(E63*G63)*J63</f>
        <v>0</v>
      </c>
      <c r="L63" s="39" t="s">
        <v>53</v>
      </c>
      <c r="M63" s="39" t="s">
        <v>54</v>
      </c>
      <c r="N63" s="33"/>
      <c r="O63" s="33"/>
      <c r="P63" s="33"/>
      <c r="Q63" s="34"/>
    </row>
    <row r="64" spans="1:17" ht="67.5" x14ac:dyDescent="0.45">
      <c r="A64" s="199" t="s">
        <v>58</v>
      </c>
      <c r="B64" s="45" t="s">
        <v>166</v>
      </c>
      <c r="C64" s="39" t="s">
        <v>32</v>
      </c>
      <c r="D64" s="39">
        <v>740</v>
      </c>
      <c r="E64" s="39">
        <v>20.399999999999999</v>
      </c>
      <c r="F64" s="39">
        <v>49174.7</v>
      </c>
      <c r="G64" s="39">
        <v>2400</v>
      </c>
      <c r="H64" s="39">
        <v>0.19</v>
      </c>
      <c r="I64" s="40">
        <f t="shared" si="3"/>
        <v>9302.4</v>
      </c>
      <c r="J64" s="39">
        <v>0</v>
      </c>
      <c r="K64" s="40">
        <f t="shared" si="4"/>
        <v>0</v>
      </c>
      <c r="L64" s="39" t="s">
        <v>53</v>
      </c>
      <c r="M64" s="39" t="s">
        <v>54</v>
      </c>
      <c r="N64" s="33"/>
      <c r="O64" s="33"/>
      <c r="P64" s="33"/>
      <c r="Q64" s="34"/>
    </row>
    <row r="65" spans="1:17" ht="45" x14ac:dyDescent="0.45">
      <c r="A65" s="199" t="s">
        <v>81</v>
      </c>
      <c r="B65" s="45" t="s">
        <v>82</v>
      </c>
      <c r="C65" s="39" t="s">
        <v>18</v>
      </c>
      <c r="D65" s="39">
        <v>5</v>
      </c>
      <c r="E65" s="39">
        <v>0</v>
      </c>
      <c r="F65" s="39">
        <v>1523.5</v>
      </c>
      <c r="G65" s="39">
        <v>1620</v>
      </c>
      <c r="H65" s="39">
        <v>0.16</v>
      </c>
      <c r="I65" s="40">
        <f t="shared" si="3"/>
        <v>0</v>
      </c>
      <c r="J65" s="39">
        <v>0</v>
      </c>
      <c r="K65" s="40">
        <f t="shared" si="4"/>
        <v>0</v>
      </c>
      <c r="L65" s="39" t="s">
        <v>53</v>
      </c>
      <c r="M65" s="39" t="s">
        <v>83</v>
      </c>
      <c r="N65" s="33"/>
      <c r="O65" s="33"/>
      <c r="P65" s="33"/>
      <c r="Q65" s="34"/>
    </row>
    <row r="66" spans="1:17" ht="67.5" x14ac:dyDescent="0.45">
      <c r="A66" s="199" t="s">
        <v>72</v>
      </c>
      <c r="B66" s="45" t="s">
        <v>84</v>
      </c>
      <c r="C66" s="39" t="s">
        <v>74</v>
      </c>
      <c r="D66" s="39">
        <v>300</v>
      </c>
      <c r="E66" s="39">
        <v>104.5</v>
      </c>
      <c r="F66" s="39">
        <v>2917.9</v>
      </c>
      <c r="G66" s="39">
        <v>16</v>
      </c>
      <c r="H66" s="39">
        <v>3.5</v>
      </c>
      <c r="I66" s="40">
        <f t="shared" si="3"/>
        <v>5852</v>
      </c>
      <c r="J66" s="39">
        <v>0</v>
      </c>
      <c r="K66" s="40">
        <f t="shared" si="4"/>
        <v>0</v>
      </c>
      <c r="L66" s="39" t="s">
        <v>53</v>
      </c>
      <c r="M66" s="39" t="s">
        <v>54</v>
      </c>
      <c r="N66" s="33"/>
      <c r="O66" s="33"/>
      <c r="P66" s="33"/>
      <c r="Q66" s="34"/>
    </row>
    <row r="67" spans="1:17" ht="67.5" x14ac:dyDescent="0.45">
      <c r="A67" s="199" t="s">
        <v>55</v>
      </c>
      <c r="B67" s="45" t="s">
        <v>84</v>
      </c>
      <c r="C67" s="39" t="s">
        <v>56</v>
      </c>
      <c r="D67" s="39">
        <v>100</v>
      </c>
      <c r="E67" s="39">
        <v>34.700000000000003</v>
      </c>
      <c r="F67" s="39">
        <v>81845.100000000006</v>
      </c>
      <c r="G67" s="39">
        <v>2363</v>
      </c>
      <c r="H67" s="39">
        <v>0.14000000000000001</v>
      </c>
      <c r="I67" s="40">
        <f t="shared" si="3"/>
        <v>11479.454000000002</v>
      </c>
      <c r="J67" s="39">
        <v>0</v>
      </c>
      <c r="K67" s="40">
        <f t="shared" si="4"/>
        <v>0</v>
      </c>
      <c r="L67" s="39" t="s">
        <v>53</v>
      </c>
      <c r="M67" s="39" t="s">
        <v>57</v>
      </c>
      <c r="N67" s="33"/>
      <c r="O67" s="33"/>
      <c r="P67" s="33"/>
      <c r="Q67" s="34"/>
    </row>
    <row r="68" spans="1:17" ht="67.5" x14ac:dyDescent="0.45">
      <c r="A68" s="199" t="s">
        <v>72</v>
      </c>
      <c r="B68" s="45" t="s">
        <v>73</v>
      </c>
      <c r="C68" s="39" t="s">
        <v>74</v>
      </c>
      <c r="D68" s="39">
        <v>250</v>
      </c>
      <c r="E68" s="39">
        <v>13.9</v>
      </c>
      <c r="F68" s="39">
        <v>388.1</v>
      </c>
      <c r="G68" s="39">
        <v>16</v>
      </c>
      <c r="H68" s="39">
        <v>3.5</v>
      </c>
      <c r="I68" s="40">
        <f t="shared" si="3"/>
        <v>778.4</v>
      </c>
      <c r="J68" s="39">
        <v>0</v>
      </c>
      <c r="K68" s="40">
        <f t="shared" si="4"/>
        <v>0</v>
      </c>
      <c r="L68" s="39" t="s">
        <v>53</v>
      </c>
      <c r="M68" s="39" t="s">
        <v>54</v>
      </c>
      <c r="N68" s="33"/>
      <c r="O68" s="33"/>
      <c r="P68" s="33"/>
      <c r="Q68" s="34"/>
    </row>
    <row r="69" spans="1:17" ht="67.5" x14ac:dyDescent="0.45">
      <c r="A69" s="199" t="s">
        <v>55</v>
      </c>
      <c r="B69" s="45" t="s">
        <v>73</v>
      </c>
      <c r="C69" s="39" t="s">
        <v>56</v>
      </c>
      <c r="D69" s="39">
        <v>150</v>
      </c>
      <c r="E69" s="39">
        <v>8.3000000000000007</v>
      </c>
      <c r="F69" s="39">
        <v>19539.400000000001</v>
      </c>
      <c r="G69" s="39">
        <v>2363</v>
      </c>
      <c r="H69" s="39">
        <v>0.14000000000000001</v>
      </c>
      <c r="I69" s="40">
        <f t="shared" si="3"/>
        <v>2745.8060000000005</v>
      </c>
      <c r="J69" s="39">
        <v>0</v>
      </c>
      <c r="K69" s="40">
        <f t="shared" si="4"/>
        <v>0</v>
      </c>
      <c r="L69" s="39" t="s">
        <v>53</v>
      </c>
      <c r="M69" s="39" t="s">
        <v>57</v>
      </c>
      <c r="N69" s="33"/>
      <c r="O69" s="33"/>
      <c r="P69" s="33"/>
      <c r="Q69" s="34"/>
    </row>
    <row r="70" spans="1:17" ht="45" x14ac:dyDescent="0.45">
      <c r="A70" s="199" t="s">
        <v>72</v>
      </c>
      <c r="B70" s="45" t="s">
        <v>77</v>
      </c>
      <c r="C70" s="39" t="s">
        <v>74</v>
      </c>
      <c r="D70" s="39">
        <v>140</v>
      </c>
      <c r="E70" s="39">
        <v>37.6</v>
      </c>
      <c r="F70" s="39">
        <v>1051.9000000000001</v>
      </c>
      <c r="G70" s="39">
        <v>16</v>
      </c>
      <c r="H70" s="39">
        <v>3.5</v>
      </c>
      <c r="I70" s="40">
        <f t="shared" si="3"/>
        <v>2105.6</v>
      </c>
      <c r="J70" s="39">
        <v>0</v>
      </c>
      <c r="K70" s="40">
        <f t="shared" si="4"/>
        <v>0</v>
      </c>
      <c r="L70" s="39" t="s">
        <v>53</v>
      </c>
      <c r="M70" s="39" t="s">
        <v>54</v>
      </c>
      <c r="N70" s="33"/>
      <c r="O70" s="33"/>
      <c r="P70" s="33"/>
      <c r="Q70" s="34"/>
    </row>
    <row r="71" spans="1:17" ht="67.5" x14ac:dyDescent="0.45">
      <c r="A71" s="199" t="s">
        <v>95</v>
      </c>
      <c r="B71" s="45" t="s">
        <v>77</v>
      </c>
      <c r="C71" s="39" t="s">
        <v>30</v>
      </c>
      <c r="D71" s="39">
        <v>100</v>
      </c>
      <c r="E71" s="39">
        <v>27.1</v>
      </c>
      <c r="F71" s="39">
        <v>65022.3</v>
      </c>
      <c r="G71" s="39">
        <v>2375</v>
      </c>
      <c r="H71" s="39">
        <v>0.15</v>
      </c>
      <c r="I71" s="40">
        <f t="shared" si="3"/>
        <v>9654.375</v>
      </c>
      <c r="J71" s="39">
        <v>0</v>
      </c>
      <c r="K71" s="40">
        <f t="shared" si="4"/>
        <v>0</v>
      </c>
      <c r="L71" s="39" t="s">
        <v>53</v>
      </c>
      <c r="M71" s="39" t="s">
        <v>54</v>
      </c>
      <c r="N71" s="33"/>
      <c r="O71" s="33"/>
      <c r="P71" s="33"/>
      <c r="Q71" s="34"/>
    </row>
    <row r="72" spans="1:17" ht="67.5" x14ac:dyDescent="0.45">
      <c r="A72" s="199" t="s">
        <v>95</v>
      </c>
      <c r="B72" s="45" t="s">
        <v>77</v>
      </c>
      <c r="C72" s="39" t="s">
        <v>30</v>
      </c>
      <c r="D72" s="39">
        <v>200</v>
      </c>
      <c r="E72" s="39">
        <v>52.1</v>
      </c>
      <c r="F72" s="39">
        <v>125087.3</v>
      </c>
      <c r="G72" s="39">
        <v>2375</v>
      </c>
      <c r="H72" s="39">
        <v>0.15</v>
      </c>
      <c r="I72" s="40">
        <f t="shared" si="3"/>
        <v>18560.625</v>
      </c>
      <c r="J72" s="39">
        <v>0</v>
      </c>
      <c r="K72" s="40">
        <f t="shared" si="4"/>
        <v>0</v>
      </c>
      <c r="L72" s="39" t="s">
        <v>53</v>
      </c>
      <c r="M72" s="39" t="s">
        <v>54</v>
      </c>
      <c r="N72" s="33"/>
      <c r="O72" s="33"/>
      <c r="P72" s="33"/>
      <c r="Q72" s="34"/>
    </row>
    <row r="73" spans="1:17" ht="67.5" x14ac:dyDescent="0.45">
      <c r="A73" s="199" t="s">
        <v>95</v>
      </c>
      <c r="B73" s="45" t="s">
        <v>106</v>
      </c>
      <c r="C73" s="39" t="s">
        <v>30</v>
      </c>
      <c r="D73" s="39">
        <v>440</v>
      </c>
      <c r="E73" s="39">
        <v>31.6</v>
      </c>
      <c r="F73" s="39">
        <v>75898.3</v>
      </c>
      <c r="G73" s="39">
        <v>2375</v>
      </c>
      <c r="H73" s="39">
        <v>0.15</v>
      </c>
      <c r="I73" s="40">
        <f t="shared" si="3"/>
        <v>11257.5</v>
      </c>
      <c r="J73" s="39">
        <v>0</v>
      </c>
      <c r="K73" s="40">
        <f t="shared" si="4"/>
        <v>0</v>
      </c>
      <c r="L73" s="39" t="s">
        <v>53</v>
      </c>
      <c r="M73" s="39" t="s">
        <v>54</v>
      </c>
      <c r="N73" s="33"/>
      <c r="O73" s="33"/>
      <c r="P73" s="33"/>
      <c r="Q73" s="34"/>
    </row>
    <row r="74" spans="1:17" ht="45" x14ac:dyDescent="0.45">
      <c r="A74" s="199" t="s">
        <v>70</v>
      </c>
      <c r="B74" s="45" t="s">
        <v>60</v>
      </c>
      <c r="C74" s="39" t="s">
        <v>71</v>
      </c>
      <c r="D74" s="39">
        <v>25</v>
      </c>
      <c r="E74" s="39">
        <v>1.4</v>
      </c>
      <c r="F74" s="39">
        <v>296</v>
      </c>
      <c r="G74" s="39">
        <v>60</v>
      </c>
      <c r="H74" s="39">
        <v>1.02</v>
      </c>
      <c r="I74" s="40">
        <f t="shared" si="3"/>
        <v>85.68</v>
      </c>
      <c r="J74" s="39">
        <v>1.1000000000000001</v>
      </c>
      <c r="K74" s="40">
        <f t="shared" si="4"/>
        <v>92.4</v>
      </c>
      <c r="L74" s="39" t="s">
        <v>53</v>
      </c>
      <c r="M74" s="39" t="s">
        <v>54</v>
      </c>
      <c r="N74" s="33"/>
      <c r="O74" s="33"/>
      <c r="P74" s="33"/>
      <c r="Q74" s="34"/>
    </row>
    <row r="75" spans="1:17" ht="45" x14ac:dyDescent="0.45">
      <c r="A75" s="199" t="s">
        <v>59</v>
      </c>
      <c r="B75" s="45" t="s">
        <v>60</v>
      </c>
      <c r="C75" s="39" t="s">
        <v>61</v>
      </c>
      <c r="D75" s="39">
        <v>32</v>
      </c>
      <c r="E75" s="39">
        <v>1.8</v>
      </c>
      <c r="F75" s="39">
        <v>2.2000000000000002</v>
      </c>
      <c r="G75" s="39">
        <v>0</v>
      </c>
      <c r="H75" s="39">
        <v>0</v>
      </c>
      <c r="I75" s="40">
        <f t="shared" si="3"/>
        <v>0</v>
      </c>
      <c r="J75" s="39">
        <v>0</v>
      </c>
      <c r="K75" s="40">
        <f t="shared" si="4"/>
        <v>0</v>
      </c>
      <c r="L75" s="39" t="s">
        <v>53</v>
      </c>
      <c r="M75" s="39" t="s">
        <v>57</v>
      </c>
      <c r="N75" s="33"/>
      <c r="O75" s="33"/>
      <c r="P75" s="33"/>
      <c r="Q75" s="34"/>
    </row>
    <row r="76" spans="1:17" ht="45" x14ac:dyDescent="0.45">
      <c r="A76" s="199" t="s">
        <v>78</v>
      </c>
      <c r="B76" s="45" t="s">
        <v>60</v>
      </c>
      <c r="C76" s="39" t="s">
        <v>26</v>
      </c>
      <c r="D76" s="39">
        <v>28</v>
      </c>
      <c r="E76" s="39">
        <v>1.6</v>
      </c>
      <c r="F76" s="39">
        <v>1160.5999999999999</v>
      </c>
      <c r="G76" s="39">
        <v>474</v>
      </c>
      <c r="H76" s="39">
        <v>0.09</v>
      </c>
      <c r="I76" s="40">
        <f t="shared" si="3"/>
        <v>68.256</v>
      </c>
      <c r="J76" s="39">
        <v>1.6</v>
      </c>
      <c r="K76" s="40">
        <f t="shared" si="4"/>
        <v>1213.4400000000003</v>
      </c>
      <c r="L76" s="39" t="s">
        <v>53</v>
      </c>
      <c r="M76" s="39" t="s">
        <v>57</v>
      </c>
      <c r="N76" s="33"/>
      <c r="O76" s="33"/>
      <c r="P76" s="33"/>
      <c r="Q76" s="34"/>
    </row>
    <row r="77" spans="1:17" ht="90" x14ac:dyDescent="0.45">
      <c r="A77" s="200" t="s">
        <v>50</v>
      </c>
      <c r="B77" s="45" t="s">
        <v>51</v>
      </c>
      <c r="C77" s="39" t="s">
        <v>52</v>
      </c>
      <c r="D77" s="39">
        <v>250</v>
      </c>
      <c r="E77" s="39">
        <v>265.5</v>
      </c>
      <c r="F77" s="39">
        <v>132783.5</v>
      </c>
      <c r="G77" s="39">
        <v>61</v>
      </c>
      <c r="H77" s="39">
        <v>1.5</v>
      </c>
      <c r="I77" s="40">
        <f t="shared" si="3"/>
        <v>24293.25</v>
      </c>
      <c r="J77" s="39">
        <v>0</v>
      </c>
      <c r="K77" s="40">
        <f t="shared" si="4"/>
        <v>0</v>
      </c>
      <c r="L77" s="39" t="s">
        <v>53</v>
      </c>
      <c r="M77" s="39" t="s">
        <v>54</v>
      </c>
      <c r="N77" s="33"/>
      <c r="O77" s="33"/>
      <c r="P77" s="33"/>
      <c r="Q77" s="34"/>
    </row>
    <row r="78" spans="1:17" ht="90" x14ac:dyDescent="0.45">
      <c r="A78" s="200" t="s">
        <v>55</v>
      </c>
      <c r="B78" s="45" t="s">
        <v>51</v>
      </c>
      <c r="C78" s="39" t="s">
        <v>56</v>
      </c>
      <c r="D78" s="39">
        <v>70</v>
      </c>
      <c r="E78" s="39">
        <v>75.5</v>
      </c>
      <c r="F78" s="39">
        <v>177945.5</v>
      </c>
      <c r="G78" s="39">
        <v>2363</v>
      </c>
      <c r="H78" s="39">
        <v>0.14000000000000001</v>
      </c>
      <c r="I78" s="40">
        <f t="shared" si="3"/>
        <v>24976.910000000003</v>
      </c>
      <c r="J78" s="39">
        <v>0</v>
      </c>
      <c r="K78" s="40">
        <f t="shared" si="4"/>
        <v>0</v>
      </c>
      <c r="L78" s="39" t="s">
        <v>53</v>
      </c>
      <c r="M78" s="39" t="s">
        <v>57</v>
      </c>
      <c r="N78" s="33">
        <f>I78+I79</f>
        <v>94744.91</v>
      </c>
      <c r="O78" s="33"/>
      <c r="P78" s="33"/>
      <c r="Q78" s="34"/>
    </row>
    <row r="79" spans="1:17" ht="90" x14ac:dyDescent="0.45">
      <c r="A79" s="200" t="s">
        <v>58</v>
      </c>
      <c r="B79" s="45" t="s">
        <v>51</v>
      </c>
      <c r="C79" s="39" t="s">
        <v>32</v>
      </c>
      <c r="D79" s="39">
        <v>150</v>
      </c>
      <c r="E79" s="39">
        <v>153</v>
      </c>
      <c r="F79" s="39">
        <v>367328</v>
      </c>
      <c r="G79" s="39">
        <v>2400</v>
      </c>
      <c r="H79" s="39">
        <v>0.19</v>
      </c>
      <c r="I79" s="40">
        <f t="shared" si="3"/>
        <v>69768</v>
      </c>
      <c r="J79" s="39">
        <v>0</v>
      </c>
      <c r="K79" s="40">
        <f t="shared" si="4"/>
        <v>0</v>
      </c>
      <c r="L79" s="39" t="s">
        <v>53</v>
      </c>
      <c r="M79" s="39" t="s">
        <v>54</v>
      </c>
      <c r="N79" s="33"/>
      <c r="O79" s="33"/>
      <c r="P79" s="33"/>
      <c r="Q79" s="34"/>
    </row>
    <row r="80" spans="1:17" ht="90" x14ac:dyDescent="0.45">
      <c r="A80" s="199" t="s">
        <v>50</v>
      </c>
      <c r="B80" s="45" t="s">
        <v>88</v>
      </c>
      <c r="C80" s="39" t="s">
        <v>52</v>
      </c>
      <c r="D80" s="39">
        <v>140</v>
      </c>
      <c r="E80" s="39">
        <v>8.3000000000000007</v>
      </c>
      <c r="F80" s="39">
        <v>4163.8</v>
      </c>
      <c r="G80" s="39">
        <v>61</v>
      </c>
      <c r="H80" s="39">
        <v>1.5</v>
      </c>
      <c r="I80" s="40">
        <f t="shared" si="3"/>
        <v>759.45</v>
      </c>
      <c r="J80" s="39">
        <v>0</v>
      </c>
      <c r="K80" s="40">
        <f t="shared" si="4"/>
        <v>0</v>
      </c>
      <c r="L80" s="39" t="s">
        <v>53</v>
      </c>
      <c r="M80" s="39" t="s">
        <v>54</v>
      </c>
      <c r="N80" s="33"/>
      <c r="O80" s="33"/>
      <c r="P80" s="33"/>
      <c r="Q80" s="34"/>
    </row>
    <row r="81" spans="1:17" ht="90" x14ac:dyDescent="0.45">
      <c r="A81" s="199" t="s">
        <v>55</v>
      </c>
      <c r="B81" s="45" t="s">
        <v>88</v>
      </c>
      <c r="C81" s="39" t="s">
        <v>56</v>
      </c>
      <c r="D81" s="39">
        <v>100</v>
      </c>
      <c r="E81" s="39">
        <v>6</v>
      </c>
      <c r="F81" s="39">
        <v>14181.2</v>
      </c>
      <c r="G81" s="39">
        <v>2363</v>
      </c>
      <c r="H81" s="39">
        <v>0.14000000000000001</v>
      </c>
      <c r="I81" s="40">
        <f t="shared" si="3"/>
        <v>1984.9200000000003</v>
      </c>
      <c r="J81" s="39">
        <v>0</v>
      </c>
      <c r="K81" s="40">
        <f t="shared" si="4"/>
        <v>0</v>
      </c>
      <c r="L81" s="39" t="s">
        <v>53</v>
      </c>
      <c r="M81" s="39" t="s">
        <v>57</v>
      </c>
      <c r="N81" s="33"/>
      <c r="O81" s="33"/>
      <c r="P81" s="33"/>
      <c r="Q81" s="34"/>
    </row>
    <row r="82" spans="1:17" ht="90" x14ac:dyDescent="0.45">
      <c r="A82" s="199" t="s">
        <v>58</v>
      </c>
      <c r="B82" s="45" t="s">
        <v>88</v>
      </c>
      <c r="C82" s="39" t="s">
        <v>32</v>
      </c>
      <c r="D82" s="39">
        <v>300</v>
      </c>
      <c r="E82" s="39">
        <v>16.7</v>
      </c>
      <c r="F82" s="39">
        <v>39929.599999999999</v>
      </c>
      <c r="G82" s="39">
        <v>2400</v>
      </c>
      <c r="H82" s="39">
        <v>0.19</v>
      </c>
      <c r="I82" s="40">
        <f t="shared" si="3"/>
        <v>7615.2</v>
      </c>
      <c r="J82" s="39">
        <v>0</v>
      </c>
      <c r="K82" s="40">
        <f t="shared" si="4"/>
        <v>0</v>
      </c>
      <c r="L82" s="39" t="s">
        <v>53</v>
      </c>
      <c r="M82" s="39" t="s">
        <v>54</v>
      </c>
      <c r="N82" s="33"/>
      <c r="O82" s="33"/>
      <c r="P82" s="33"/>
      <c r="Q82" s="34"/>
    </row>
    <row r="83" spans="1:17" ht="45" x14ac:dyDescent="0.45">
      <c r="A83" s="199" t="s">
        <v>90</v>
      </c>
      <c r="B83" s="45" t="s">
        <v>91</v>
      </c>
      <c r="C83" s="39" t="s">
        <v>22</v>
      </c>
      <c r="D83" s="39">
        <v>25</v>
      </c>
      <c r="E83" s="39">
        <v>14.8</v>
      </c>
      <c r="F83" s="39">
        <v>7424.4</v>
      </c>
      <c r="G83" s="39">
        <v>474</v>
      </c>
      <c r="H83" s="39">
        <v>0.09</v>
      </c>
      <c r="I83" s="40">
        <f t="shared" si="3"/>
        <v>631.36800000000005</v>
      </c>
      <c r="J83" s="39">
        <v>1.6</v>
      </c>
      <c r="K83" s="40">
        <f t="shared" si="4"/>
        <v>11224.320000000002</v>
      </c>
      <c r="L83" s="39" t="s">
        <v>53</v>
      </c>
      <c r="M83" s="39" t="s">
        <v>54</v>
      </c>
      <c r="N83" s="33"/>
      <c r="O83" s="33"/>
      <c r="P83" s="33"/>
      <c r="Q83" s="34"/>
    </row>
    <row r="84" spans="1:17" ht="45" x14ac:dyDescent="0.45">
      <c r="A84" s="199" t="s">
        <v>94</v>
      </c>
      <c r="B84" s="45" t="s">
        <v>91</v>
      </c>
      <c r="C84" s="39" t="s">
        <v>28</v>
      </c>
      <c r="D84" s="39">
        <v>2</v>
      </c>
      <c r="E84" s="39">
        <v>1.2</v>
      </c>
      <c r="F84" s="39">
        <v>8553</v>
      </c>
      <c r="G84" s="39">
        <v>7850</v>
      </c>
      <c r="H84" s="39">
        <v>3.1</v>
      </c>
      <c r="I84" s="40">
        <f t="shared" si="3"/>
        <v>29202</v>
      </c>
      <c r="J84" s="39">
        <v>0</v>
      </c>
      <c r="K84" s="40">
        <f t="shared" si="4"/>
        <v>0</v>
      </c>
      <c r="L84" s="39" t="s">
        <v>53</v>
      </c>
      <c r="M84" s="39" t="s">
        <v>54</v>
      </c>
      <c r="N84" s="33"/>
      <c r="O84" s="33"/>
      <c r="P84" s="33"/>
      <c r="Q84" s="34"/>
    </row>
    <row r="85" spans="1:17" ht="67.5" x14ac:dyDescent="0.45">
      <c r="A85" s="199" t="s">
        <v>50</v>
      </c>
      <c r="B85" s="45" t="s">
        <v>154</v>
      </c>
      <c r="C85" s="39" t="s">
        <v>52</v>
      </c>
      <c r="D85" s="39">
        <v>30</v>
      </c>
      <c r="E85" s="39">
        <v>47.5</v>
      </c>
      <c r="F85" s="39">
        <v>25438</v>
      </c>
      <c r="G85" s="39">
        <v>61</v>
      </c>
      <c r="H85" s="39">
        <v>1.5</v>
      </c>
      <c r="I85" s="40">
        <f t="shared" si="3"/>
        <v>4346.25</v>
      </c>
      <c r="J85" s="39">
        <v>0</v>
      </c>
      <c r="K85" s="40">
        <f t="shared" si="4"/>
        <v>0</v>
      </c>
      <c r="L85" s="39" t="s">
        <v>53</v>
      </c>
      <c r="M85" s="39" t="s">
        <v>57</v>
      </c>
      <c r="N85" s="33"/>
      <c r="O85" s="33" t="s">
        <v>194</v>
      </c>
      <c r="P85" s="33"/>
      <c r="Q85" s="34"/>
    </row>
    <row r="86" spans="1:17" ht="45" x14ac:dyDescent="0.45">
      <c r="A86" s="199" t="s">
        <v>95</v>
      </c>
      <c r="B86" s="45" t="s">
        <v>154</v>
      </c>
      <c r="C86" s="39" t="s">
        <v>31</v>
      </c>
      <c r="D86" s="39">
        <v>270</v>
      </c>
      <c r="E86" s="39">
        <v>456.5</v>
      </c>
      <c r="F86" s="39">
        <v>595258.6</v>
      </c>
      <c r="G86" s="39">
        <v>382</v>
      </c>
      <c r="H86" s="39">
        <v>0.17</v>
      </c>
      <c r="I86" s="40">
        <f>(E86*G86)*H86</f>
        <v>29645.11</v>
      </c>
      <c r="J86" s="39">
        <v>0</v>
      </c>
      <c r="K86" s="40">
        <f t="shared" si="4"/>
        <v>0</v>
      </c>
      <c r="L86" s="39" t="s">
        <v>53</v>
      </c>
      <c r="M86" s="39" t="s">
        <v>54</v>
      </c>
      <c r="N86" s="33"/>
      <c r="O86" s="33">
        <f>I85+I88</f>
        <v>4986.75</v>
      </c>
      <c r="P86" s="33"/>
      <c r="Q86" s="34"/>
    </row>
    <row r="87" spans="1:17" ht="45" x14ac:dyDescent="0.45">
      <c r="A87" s="199" t="s">
        <v>101</v>
      </c>
      <c r="B87" s="45" t="s">
        <v>154</v>
      </c>
      <c r="C87" s="39" t="s">
        <v>4</v>
      </c>
      <c r="D87" s="39">
        <v>50</v>
      </c>
      <c r="E87" s="39">
        <v>81</v>
      </c>
      <c r="F87" s="39">
        <v>152630.5</v>
      </c>
      <c r="G87" s="39">
        <v>2353</v>
      </c>
      <c r="H87" s="39">
        <v>0.12</v>
      </c>
      <c r="I87" s="40">
        <f>(E87*G87)*H87</f>
        <v>22871.16</v>
      </c>
      <c r="J87" s="39">
        <v>0</v>
      </c>
      <c r="K87" s="40">
        <f t="shared" si="4"/>
        <v>0</v>
      </c>
      <c r="L87" s="39" t="s">
        <v>53</v>
      </c>
      <c r="M87" s="39" t="s">
        <v>57</v>
      </c>
      <c r="N87" s="33"/>
      <c r="O87" s="33" t="s">
        <v>320</v>
      </c>
      <c r="P87" s="33"/>
      <c r="Q87" s="34"/>
    </row>
    <row r="88" spans="1:17" ht="67.5" x14ac:dyDescent="0.45">
      <c r="A88" s="199" t="s">
        <v>50</v>
      </c>
      <c r="B88" s="45" t="s">
        <v>155</v>
      </c>
      <c r="C88" s="39" t="s">
        <v>52</v>
      </c>
      <c r="D88" s="39">
        <v>30</v>
      </c>
      <c r="E88" s="39">
        <v>7</v>
      </c>
      <c r="F88" s="39">
        <v>3545.9</v>
      </c>
      <c r="G88" s="39">
        <v>61</v>
      </c>
      <c r="H88" s="39">
        <v>1.5</v>
      </c>
      <c r="I88" s="40">
        <f t="shared" si="3"/>
        <v>640.5</v>
      </c>
      <c r="J88" s="39">
        <v>0</v>
      </c>
      <c r="K88" s="40">
        <f t="shared" si="4"/>
        <v>0</v>
      </c>
      <c r="L88" s="39" t="s">
        <v>53</v>
      </c>
      <c r="M88" s="39" t="s">
        <v>54</v>
      </c>
      <c r="N88" s="33"/>
      <c r="O88" s="33">
        <f>I87+I90</f>
        <v>26259.48</v>
      </c>
      <c r="P88" s="33"/>
      <c r="Q88" s="34"/>
    </row>
    <row r="89" spans="1:17" ht="45" x14ac:dyDescent="0.45">
      <c r="A89" s="199" t="s">
        <v>95</v>
      </c>
      <c r="B89" s="45" t="s">
        <v>155</v>
      </c>
      <c r="C89" s="39" t="s">
        <v>31</v>
      </c>
      <c r="D89" s="39">
        <v>270</v>
      </c>
      <c r="E89" s="39">
        <v>64.5</v>
      </c>
      <c r="F89" s="39">
        <v>83545.5</v>
      </c>
      <c r="G89" s="39">
        <v>382</v>
      </c>
      <c r="H89" s="39">
        <v>0.17</v>
      </c>
      <c r="I89" s="40">
        <f t="shared" si="3"/>
        <v>4188.63</v>
      </c>
      <c r="J89" s="39">
        <v>0</v>
      </c>
      <c r="K89" s="40">
        <f t="shared" si="4"/>
        <v>0</v>
      </c>
      <c r="L89" s="39" t="s">
        <v>53</v>
      </c>
      <c r="M89" s="39" t="s">
        <v>54</v>
      </c>
      <c r="N89" s="33"/>
      <c r="O89" s="33"/>
      <c r="P89" s="33"/>
      <c r="Q89" s="34"/>
    </row>
    <row r="90" spans="1:17" ht="45" x14ac:dyDescent="0.45">
      <c r="A90" s="199" t="s">
        <v>101</v>
      </c>
      <c r="B90" s="45" t="s">
        <v>155</v>
      </c>
      <c r="C90" s="39" t="s">
        <v>4</v>
      </c>
      <c r="D90" s="39">
        <v>50</v>
      </c>
      <c r="E90" s="39">
        <v>12</v>
      </c>
      <c r="F90" s="39">
        <v>21419.599999999999</v>
      </c>
      <c r="G90" s="39">
        <v>2353</v>
      </c>
      <c r="H90" s="39">
        <v>0.12</v>
      </c>
      <c r="I90" s="40">
        <f t="shared" si="3"/>
        <v>3388.3199999999997</v>
      </c>
      <c r="J90" s="39">
        <v>0</v>
      </c>
      <c r="K90" s="40">
        <f t="shared" si="4"/>
        <v>0</v>
      </c>
      <c r="L90" s="39" t="s">
        <v>53</v>
      </c>
      <c r="M90" s="39" t="s">
        <v>57</v>
      </c>
      <c r="N90" s="33"/>
      <c r="O90" s="33"/>
      <c r="P90" s="33"/>
      <c r="Q90" s="34"/>
    </row>
    <row r="91" spans="1:17" ht="67.5" x14ac:dyDescent="0.45">
      <c r="A91" s="199" t="s">
        <v>95</v>
      </c>
      <c r="B91" s="45" t="s">
        <v>104</v>
      </c>
      <c r="C91" s="39" t="s">
        <v>30</v>
      </c>
      <c r="D91" s="39">
        <v>200</v>
      </c>
      <c r="E91" s="39">
        <v>16.3</v>
      </c>
      <c r="F91" s="39">
        <v>38202.800000000003</v>
      </c>
      <c r="G91" s="39">
        <v>2375</v>
      </c>
      <c r="H91" s="39">
        <v>0.15</v>
      </c>
      <c r="I91" s="40">
        <f t="shared" si="3"/>
        <v>5806.875</v>
      </c>
      <c r="J91" s="39">
        <v>0</v>
      </c>
      <c r="K91" s="40">
        <f t="shared" si="4"/>
        <v>0</v>
      </c>
      <c r="L91" s="39" t="s">
        <v>53</v>
      </c>
      <c r="M91" s="39" t="s">
        <v>54</v>
      </c>
      <c r="N91" s="33"/>
      <c r="O91" s="33"/>
      <c r="P91" s="33"/>
      <c r="Q91" s="34"/>
    </row>
    <row r="92" spans="1:17" ht="67.5" x14ac:dyDescent="0.45">
      <c r="A92" s="199" t="s">
        <v>95</v>
      </c>
      <c r="B92" s="45" t="s">
        <v>96</v>
      </c>
      <c r="C92" s="39" t="s">
        <v>30</v>
      </c>
      <c r="D92" s="39">
        <v>300</v>
      </c>
      <c r="E92" s="39">
        <v>3.8</v>
      </c>
      <c r="F92" s="39">
        <v>9014</v>
      </c>
      <c r="G92" s="39">
        <v>2375</v>
      </c>
      <c r="H92" s="39">
        <v>0.15</v>
      </c>
      <c r="I92" s="40">
        <f t="shared" si="3"/>
        <v>1353.75</v>
      </c>
      <c r="J92" s="39">
        <v>0</v>
      </c>
      <c r="K92" s="40">
        <f t="shared" si="4"/>
        <v>0</v>
      </c>
      <c r="L92" s="39" t="s">
        <v>53</v>
      </c>
      <c r="M92" s="39" t="s">
        <v>54</v>
      </c>
      <c r="N92" s="33"/>
      <c r="O92" s="33"/>
      <c r="P92" s="33"/>
      <c r="Q92" s="34"/>
    </row>
    <row r="93" spans="1:17" ht="67.5" x14ac:dyDescent="0.45">
      <c r="A93" s="199" t="s">
        <v>95</v>
      </c>
      <c r="B93" s="45" t="s">
        <v>157</v>
      </c>
      <c r="C93" s="39" t="s">
        <v>30</v>
      </c>
      <c r="D93" s="39">
        <v>200</v>
      </c>
      <c r="E93" s="39">
        <v>336.3</v>
      </c>
      <c r="F93" s="39">
        <v>806239.3</v>
      </c>
      <c r="G93" s="39">
        <v>2375</v>
      </c>
      <c r="H93" s="39">
        <v>0.15</v>
      </c>
      <c r="I93" s="40">
        <f t="shared" si="3"/>
        <v>119806.875</v>
      </c>
      <c r="J93" s="39">
        <v>0</v>
      </c>
      <c r="K93" s="40">
        <f t="shared" si="4"/>
        <v>0</v>
      </c>
      <c r="L93" s="39" t="s">
        <v>53</v>
      </c>
      <c r="M93" s="39" t="s">
        <v>54</v>
      </c>
      <c r="N93" s="33" t="s">
        <v>233</v>
      </c>
      <c r="O93" s="33"/>
      <c r="P93" s="33"/>
      <c r="Q93" s="34"/>
    </row>
    <row r="94" spans="1:17" ht="135" x14ac:dyDescent="0.45">
      <c r="A94" s="199" t="s">
        <v>50</v>
      </c>
      <c r="B94" s="45" t="s">
        <v>93</v>
      </c>
      <c r="C94" s="39" t="s">
        <v>52</v>
      </c>
      <c r="D94" s="39">
        <v>66</v>
      </c>
      <c r="E94" s="39">
        <v>17.5</v>
      </c>
      <c r="F94" s="39">
        <v>9188.7000000000007</v>
      </c>
      <c r="G94" s="39">
        <v>61</v>
      </c>
      <c r="H94" s="39">
        <v>1.5</v>
      </c>
      <c r="I94" s="40">
        <f t="shared" si="3"/>
        <v>1601.25</v>
      </c>
      <c r="J94" s="39">
        <v>0</v>
      </c>
      <c r="K94" s="40">
        <f t="shared" si="4"/>
        <v>0</v>
      </c>
      <c r="L94" s="39" t="s">
        <v>53</v>
      </c>
      <c r="M94" s="39" t="s">
        <v>54</v>
      </c>
      <c r="N94" s="33">
        <f>I93+I96</f>
        <v>124473.75</v>
      </c>
      <c r="O94" s="33"/>
      <c r="P94" s="33"/>
      <c r="Q94" s="34"/>
    </row>
    <row r="95" spans="1:17" ht="135" x14ac:dyDescent="0.45">
      <c r="A95" s="199" t="s">
        <v>79</v>
      </c>
      <c r="B95" s="45" t="s">
        <v>93</v>
      </c>
      <c r="C95" s="39" t="s">
        <v>15</v>
      </c>
      <c r="D95" s="39">
        <v>15</v>
      </c>
      <c r="E95" s="39">
        <v>7</v>
      </c>
      <c r="F95" s="39">
        <v>7924.9</v>
      </c>
      <c r="G95" s="39">
        <v>875</v>
      </c>
      <c r="H95" s="39">
        <v>0.28000000000000003</v>
      </c>
      <c r="I95" s="40">
        <f t="shared" si="3"/>
        <v>1715.0000000000002</v>
      </c>
      <c r="J95" s="39">
        <v>0</v>
      </c>
      <c r="K95" s="40">
        <f t="shared" si="4"/>
        <v>0</v>
      </c>
      <c r="L95" s="39" t="s">
        <v>53</v>
      </c>
      <c r="M95" s="39" t="s">
        <v>57</v>
      </c>
      <c r="N95" s="33" t="s">
        <v>194</v>
      </c>
      <c r="O95" s="33"/>
      <c r="P95" s="33"/>
      <c r="Q95" s="34"/>
    </row>
    <row r="96" spans="1:17" ht="67.5" x14ac:dyDescent="0.45">
      <c r="A96" s="199" t="s">
        <v>95</v>
      </c>
      <c r="B96" s="45" t="s">
        <v>156</v>
      </c>
      <c r="C96" s="39" t="s">
        <v>30</v>
      </c>
      <c r="D96" s="39">
        <v>120</v>
      </c>
      <c r="E96" s="39">
        <v>13.1</v>
      </c>
      <c r="F96" s="39">
        <v>30820.799999999999</v>
      </c>
      <c r="G96" s="39">
        <v>2375</v>
      </c>
      <c r="H96" s="39">
        <v>0.15</v>
      </c>
      <c r="I96" s="40">
        <f t="shared" si="3"/>
        <v>4666.875</v>
      </c>
      <c r="J96" s="39">
        <v>0</v>
      </c>
      <c r="K96" s="40">
        <f t="shared" si="4"/>
        <v>0</v>
      </c>
      <c r="L96" s="39" t="s">
        <v>53</v>
      </c>
      <c r="M96" s="39" t="s">
        <v>54</v>
      </c>
      <c r="N96" s="33">
        <f>I94+I97</f>
        <v>7942.2000000000007</v>
      </c>
      <c r="O96" s="33"/>
      <c r="P96" s="33"/>
      <c r="Q96" s="34"/>
    </row>
    <row r="97" spans="1:17" ht="67.5" x14ac:dyDescent="0.45">
      <c r="A97" s="199" t="s">
        <v>50</v>
      </c>
      <c r="B97" s="45" t="s">
        <v>97</v>
      </c>
      <c r="C97" s="39" t="s">
        <v>52</v>
      </c>
      <c r="D97" s="39">
        <v>66</v>
      </c>
      <c r="E97" s="39">
        <v>69.3</v>
      </c>
      <c r="F97" s="39">
        <v>36298.300000000003</v>
      </c>
      <c r="G97" s="39">
        <v>61</v>
      </c>
      <c r="H97" s="39">
        <v>1.5</v>
      </c>
      <c r="I97" s="40">
        <f t="shared" si="3"/>
        <v>6340.9500000000007</v>
      </c>
      <c r="J97" s="39">
        <v>0</v>
      </c>
      <c r="K97" s="40">
        <f t="shared" si="4"/>
        <v>0</v>
      </c>
      <c r="L97" s="39" t="s">
        <v>53</v>
      </c>
      <c r="M97" s="39" t="s">
        <v>54</v>
      </c>
      <c r="N97" s="33" t="s">
        <v>196</v>
      </c>
      <c r="O97" s="33"/>
      <c r="P97" s="33"/>
      <c r="Q97" s="34"/>
    </row>
    <row r="98" spans="1:17" ht="45" x14ac:dyDescent="0.45">
      <c r="A98" s="199" t="s">
        <v>79</v>
      </c>
      <c r="B98" s="45" t="s">
        <v>97</v>
      </c>
      <c r="C98" s="39" t="s">
        <v>15</v>
      </c>
      <c r="D98" s="39">
        <v>13</v>
      </c>
      <c r="E98" s="39">
        <v>16.5</v>
      </c>
      <c r="F98" s="39">
        <v>12333.2</v>
      </c>
      <c r="G98" s="39">
        <v>875</v>
      </c>
      <c r="H98" s="39">
        <v>0.28000000000000003</v>
      </c>
      <c r="I98" s="40">
        <f t="shared" si="3"/>
        <v>4042.5000000000005</v>
      </c>
      <c r="J98" s="39">
        <v>0</v>
      </c>
      <c r="K98" s="40">
        <f t="shared" si="4"/>
        <v>0</v>
      </c>
      <c r="L98" s="39" t="s">
        <v>53</v>
      </c>
      <c r="M98" s="39" t="s">
        <v>54</v>
      </c>
      <c r="N98" s="33">
        <f>I95+I98+I99</f>
        <v>9800.0000000000018</v>
      </c>
      <c r="O98" s="33"/>
      <c r="P98" s="33"/>
      <c r="Q98" s="34"/>
    </row>
    <row r="99" spans="1:17" ht="45" x14ac:dyDescent="0.45">
      <c r="A99" s="199" t="s">
        <v>79</v>
      </c>
      <c r="B99" s="45" t="s">
        <v>97</v>
      </c>
      <c r="C99" s="39" t="s">
        <v>15</v>
      </c>
      <c r="D99" s="39">
        <v>13</v>
      </c>
      <c r="E99" s="39">
        <v>16.5</v>
      </c>
      <c r="F99" s="39">
        <v>13396.9</v>
      </c>
      <c r="G99" s="39">
        <v>875</v>
      </c>
      <c r="H99" s="39">
        <v>0.28000000000000003</v>
      </c>
      <c r="I99" s="40">
        <f t="shared" si="3"/>
        <v>4042.5000000000005</v>
      </c>
      <c r="J99" s="39">
        <v>0</v>
      </c>
      <c r="K99" s="40">
        <f t="shared" si="4"/>
        <v>0</v>
      </c>
      <c r="L99" s="39" t="s">
        <v>53</v>
      </c>
      <c r="M99" s="39" t="s">
        <v>57</v>
      </c>
      <c r="N99" s="33"/>
      <c r="O99" s="33"/>
      <c r="P99" s="33"/>
      <c r="Q99" s="34"/>
    </row>
    <row r="100" spans="1:17" ht="67.5" x14ac:dyDescent="0.45">
      <c r="A100" s="199" t="s">
        <v>58</v>
      </c>
      <c r="B100" s="45" t="s">
        <v>105</v>
      </c>
      <c r="C100" s="39" t="s">
        <v>32</v>
      </c>
      <c r="D100" s="39">
        <v>300</v>
      </c>
      <c r="E100" s="39">
        <v>16.600000000000001</v>
      </c>
      <c r="F100" s="39">
        <v>39910.199999999997</v>
      </c>
      <c r="G100" s="39">
        <v>2400</v>
      </c>
      <c r="H100" s="39">
        <v>0.19</v>
      </c>
      <c r="I100" s="40">
        <f t="shared" si="3"/>
        <v>7569.6</v>
      </c>
      <c r="J100" s="39">
        <v>0</v>
      </c>
      <c r="K100" s="40">
        <f t="shared" si="4"/>
        <v>0</v>
      </c>
      <c r="L100" s="39" t="s">
        <v>53</v>
      </c>
      <c r="M100" s="39" t="s">
        <v>57</v>
      </c>
      <c r="N100" s="33"/>
      <c r="O100" s="33"/>
      <c r="P100" s="33"/>
      <c r="Q100" s="34"/>
    </row>
    <row r="101" spans="1:17" ht="67.5" x14ac:dyDescent="0.45">
      <c r="A101" s="199" t="s">
        <v>58</v>
      </c>
      <c r="B101" s="45" t="s">
        <v>103</v>
      </c>
      <c r="C101" s="39" t="s">
        <v>32</v>
      </c>
      <c r="D101" s="39">
        <v>300</v>
      </c>
      <c r="E101" s="39">
        <v>15.6</v>
      </c>
      <c r="F101" s="39">
        <v>37482.199999999997</v>
      </c>
      <c r="G101" s="39">
        <v>2400</v>
      </c>
      <c r="H101" s="39">
        <v>0.19</v>
      </c>
      <c r="I101" s="40">
        <f t="shared" si="3"/>
        <v>7113.6</v>
      </c>
      <c r="J101" s="39">
        <v>0</v>
      </c>
      <c r="K101" s="40">
        <f t="shared" si="4"/>
        <v>0</v>
      </c>
      <c r="L101" s="39" t="s">
        <v>53</v>
      </c>
      <c r="M101" s="39" t="s">
        <v>54</v>
      </c>
      <c r="N101" s="33"/>
      <c r="O101" s="33"/>
      <c r="P101" s="33"/>
      <c r="Q101" s="34"/>
    </row>
    <row r="102" spans="1:17" ht="67.5" x14ac:dyDescent="0.45">
      <c r="A102" s="199" t="s">
        <v>58</v>
      </c>
      <c r="B102" s="45" t="s">
        <v>108</v>
      </c>
      <c r="C102" s="39" t="s">
        <v>32</v>
      </c>
      <c r="D102" s="39">
        <v>200</v>
      </c>
      <c r="E102" s="39">
        <v>64.8</v>
      </c>
      <c r="F102" s="39">
        <v>155252.5</v>
      </c>
      <c r="G102" s="39">
        <v>2400</v>
      </c>
      <c r="H102" s="39">
        <v>0.19</v>
      </c>
      <c r="I102" s="40">
        <f t="shared" si="3"/>
        <v>29548.799999999999</v>
      </c>
      <c r="J102" s="39">
        <v>0</v>
      </c>
      <c r="K102" s="40">
        <f t="shared" si="4"/>
        <v>0</v>
      </c>
      <c r="L102" s="39" t="s">
        <v>53</v>
      </c>
      <c r="M102" s="39" t="s">
        <v>57</v>
      </c>
      <c r="N102" s="33"/>
      <c r="O102" s="33"/>
      <c r="P102" s="33"/>
      <c r="Q102" s="34"/>
    </row>
    <row r="103" spans="1:17" ht="90" x14ac:dyDescent="0.45">
      <c r="A103" s="199" t="s">
        <v>98</v>
      </c>
      <c r="B103" s="45" t="s">
        <v>99</v>
      </c>
      <c r="C103" s="39" t="s">
        <v>100</v>
      </c>
      <c r="D103" s="39">
        <v>125</v>
      </c>
      <c r="E103" s="39">
        <v>13.6</v>
      </c>
      <c r="F103" s="39">
        <v>18951.099999999999</v>
      </c>
      <c r="G103" s="39">
        <v>644</v>
      </c>
      <c r="H103" s="39">
        <v>0.26</v>
      </c>
      <c r="I103" s="40">
        <f t="shared" si="3"/>
        <v>2277.1840000000002</v>
      </c>
      <c r="J103" s="39">
        <v>0</v>
      </c>
      <c r="K103" s="40">
        <f t="shared" si="4"/>
        <v>0</v>
      </c>
      <c r="L103" s="39" t="s">
        <v>53</v>
      </c>
      <c r="M103" s="39" t="s">
        <v>57</v>
      </c>
      <c r="N103" s="33"/>
      <c r="O103" s="33"/>
      <c r="P103" s="33"/>
      <c r="Q103" s="34"/>
    </row>
    <row r="104" spans="1:17" ht="67.5" x14ac:dyDescent="0.45">
      <c r="A104" s="199" t="s">
        <v>75</v>
      </c>
      <c r="B104" s="45" t="s">
        <v>153</v>
      </c>
      <c r="C104" s="39" t="s">
        <v>76</v>
      </c>
      <c r="D104" s="39">
        <v>450</v>
      </c>
      <c r="E104" s="39">
        <v>194.7</v>
      </c>
      <c r="F104" s="39">
        <v>7787.1</v>
      </c>
      <c r="G104" s="39">
        <v>33</v>
      </c>
      <c r="H104" s="39">
        <v>1.5</v>
      </c>
      <c r="I104" s="40">
        <f t="shared" si="3"/>
        <v>9637.65</v>
      </c>
      <c r="J104" s="39">
        <v>0</v>
      </c>
      <c r="K104" s="40">
        <f t="shared" si="4"/>
        <v>0</v>
      </c>
      <c r="L104" s="39" t="s">
        <v>53</v>
      </c>
      <c r="M104" s="39" t="s">
        <v>57</v>
      </c>
      <c r="N104" s="33"/>
      <c r="O104" s="33"/>
      <c r="P104" s="33"/>
      <c r="Q104" s="34"/>
    </row>
    <row r="105" spans="1:17" ht="45" x14ac:dyDescent="0.45">
      <c r="A105" s="199" t="s">
        <v>95</v>
      </c>
      <c r="B105" s="45" t="s">
        <v>153</v>
      </c>
      <c r="C105" s="39" t="s">
        <v>31</v>
      </c>
      <c r="D105" s="39">
        <v>270</v>
      </c>
      <c r="E105" s="39">
        <v>116.8</v>
      </c>
      <c r="F105" s="39">
        <v>151849.29999999999</v>
      </c>
      <c r="G105" s="39">
        <v>382</v>
      </c>
      <c r="H105" s="39">
        <v>0.17</v>
      </c>
      <c r="I105" s="40">
        <f t="shared" si="3"/>
        <v>7584.9920000000002</v>
      </c>
      <c r="J105" s="39">
        <v>0</v>
      </c>
      <c r="K105" s="40">
        <f t="shared" si="4"/>
        <v>0</v>
      </c>
      <c r="L105" s="39" t="s">
        <v>53</v>
      </c>
      <c r="M105" s="39" t="s">
        <v>54</v>
      </c>
      <c r="N105" s="33"/>
      <c r="O105" s="33"/>
      <c r="P105" s="33"/>
      <c r="Q105" s="34"/>
    </row>
    <row r="106" spans="1:17" x14ac:dyDescent="0.35">
      <c r="B106" s="35"/>
      <c r="C106" s="33"/>
      <c r="D106" s="33"/>
      <c r="E106" s="33"/>
      <c r="F106" s="33"/>
      <c r="G106" s="33"/>
      <c r="H106" s="33"/>
      <c r="I106" s="33"/>
      <c r="J106" s="33"/>
      <c r="K106" s="33"/>
      <c r="L106" s="33"/>
      <c r="M106" s="33"/>
      <c r="N106" s="33"/>
      <c r="O106" s="33"/>
      <c r="P106" s="33"/>
      <c r="Q106" s="34"/>
    </row>
    <row r="107" spans="1:17" x14ac:dyDescent="0.35">
      <c r="B107" s="35"/>
      <c r="C107" s="33"/>
      <c r="D107" s="33"/>
      <c r="E107" s="33"/>
      <c r="F107" s="33"/>
      <c r="G107" s="33"/>
      <c r="H107" s="33"/>
      <c r="I107" s="33"/>
      <c r="J107" s="33"/>
      <c r="K107" s="33"/>
      <c r="L107" s="33"/>
      <c r="M107" s="33"/>
      <c r="N107" s="33"/>
      <c r="O107" s="33"/>
      <c r="P107" s="33"/>
      <c r="Q107" s="34"/>
    </row>
    <row r="108" spans="1:17" x14ac:dyDescent="0.35">
      <c r="B108" s="35"/>
      <c r="C108" s="33"/>
      <c r="D108" s="33"/>
      <c r="E108" s="33"/>
      <c r="F108" s="33"/>
      <c r="G108" s="33"/>
      <c r="H108" s="33"/>
      <c r="I108" s="33"/>
      <c r="J108" s="33"/>
      <c r="K108" s="33"/>
      <c r="L108" s="33"/>
      <c r="M108" s="33"/>
      <c r="N108" s="33"/>
      <c r="O108" s="33"/>
      <c r="P108" s="33"/>
      <c r="Q108" s="34"/>
    </row>
    <row r="109" spans="1:17" x14ac:dyDescent="0.35">
      <c r="B109" s="35"/>
      <c r="C109" s="33"/>
      <c r="D109" s="33"/>
      <c r="E109" s="33"/>
      <c r="F109" s="33"/>
      <c r="G109" s="33"/>
      <c r="H109" s="33"/>
      <c r="I109" s="33"/>
      <c r="J109" s="33"/>
      <c r="K109" s="33"/>
      <c r="L109" s="33"/>
      <c r="M109" s="33"/>
      <c r="N109" s="33"/>
      <c r="O109" s="33"/>
      <c r="P109" s="33"/>
      <c r="Q109" s="34"/>
    </row>
    <row r="110" spans="1:17" x14ac:dyDescent="0.35">
      <c r="B110" s="35"/>
      <c r="C110" s="33"/>
      <c r="D110" s="33"/>
      <c r="E110" s="33"/>
      <c r="F110" s="33"/>
      <c r="G110" s="33"/>
      <c r="H110" s="33"/>
      <c r="I110" s="33"/>
      <c r="J110" s="33"/>
      <c r="K110" s="33"/>
      <c r="L110" s="33"/>
      <c r="M110" s="33"/>
      <c r="N110" s="33"/>
      <c r="O110" s="33"/>
      <c r="P110" s="33"/>
      <c r="Q110" s="34"/>
    </row>
    <row r="111" spans="1:17" x14ac:dyDescent="0.35">
      <c r="B111" s="35"/>
      <c r="C111" s="33"/>
      <c r="D111" s="33"/>
      <c r="E111" s="33"/>
      <c r="F111" s="33"/>
      <c r="G111" s="33"/>
      <c r="H111" s="33"/>
      <c r="I111" s="33"/>
      <c r="J111" s="33"/>
      <c r="K111" s="33"/>
      <c r="L111" s="33"/>
      <c r="M111" s="33"/>
      <c r="N111" s="33"/>
      <c r="O111" s="33"/>
      <c r="P111" s="33"/>
      <c r="Q111" s="34"/>
    </row>
    <row r="112" spans="1:17" x14ac:dyDescent="0.35">
      <c r="B112" s="35"/>
      <c r="C112" s="33"/>
      <c r="D112" s="33"/>
      <c r="E112" s="33"/>
      <c r="F112" s="33"/>
      <c r="G112" s="33"/>
      <c r="H112" s="33"/>
      <c r="I112" s="33"/>
      <c r="J112" s="33"/>
      <c r="K112" s="33"/>
      <c r="L112" s="33"/>
      <c r="M112" s="33"/>
      <c r="N112" s="33"/>
      <c r="O112" s="33"/>
      <c r="P112" s="33"/>
      <c r="Q112" s="34"/>
    </row>
    <row r="113" spans="2:17" x14ac:dyDescent="0.35">
      <c r="B113" s="36"/>
      <c r="C113" s="37"/>
      <c r="D113" s="37"/>
      <c r="E113" s="37"/>
      <c r="F113" s="37"/>
      <c r="G113" s="37"/>
      <c r="H113" s="37"/>
      <c r="I113" s="37"/>
      <c r="J113" s="37"/>
      <c r="K113" s="37"/>
      <c r="L113" s="37"/>
      <c r="M113" s="37"/>
      <c r="N113" s="37"/>
      <c r="O113" s="37"/>
      <c r="P113" s="37"/>
      <c r="Q113" s="38"/>
    </row>
  </sheetData>
  <sheetProtection algorithmName="SHA-512" hashValue="zcd3/LvGhCirtjCLk9QU48gpELPhMRdZsZvqPIkgLYsS3jloAko6bO70MXmiwwwIeXx5mmOZLKtSqQ4cwb9grw==" saltValue="D4s/tVKjf+b7bsAOcRhyjg==" spinCount="100000" sheet="1" objects="1" scenarios="1"/>
  <protectedRanges>
    <protectedRange sqref="A5:M48" name="Alue1"/>
  </protectedRanges>
  <mergeCells count="1">
    <mergeCell ref="A3:K3"/>
  </mergeCells>
  <conditionalFormatting sqref="J52:J53">
    <cfRule type="cellIs" dxfId="17" priority="1" operator="lessThan">
      <formula>0</formula>
    </cfRule>
    <cfRule type="cellIs" dxfId="16" priority="2" operator="greaterThan">
      <formula>0</formula>
    </cfRule>
  </conditionalFormatting>
  <pageMargins left="0.7" right="0.7" top="0.75" bottom="0.75" header="0.3" footer="0.3"/>
  <pageSetup paperSize="9" orientation="portrait" verticalDpi="0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83CE5A-4397-4E1E-8996-E2C46174B548}">
  <dimension ref="A1:L93"/>
  <sheetViews>
    <sheetView zoomScale="60" zoomScaleNormal="60" workbookViewId="0">
      <selection activeCell="O9" sqref="O9"/>
    </sheetView>
  </sheetViews>
  <sheetFormatPr defaultRowHeight="14.5" x14ac:dyDescent="0.35"/>
  <cols>
    <col min="4" max="5" width="8.81640625" bestFit="1" customWidth="1"/>
    <col min="6" max="6" width="9.90625" bestFit="1" customWidth="1"/>
    <col min="7" max="11" width="8.81640625" bestFit="1" customWidth="1"/>
  </cols>
  <sheetData>
    <row r="1" spans="1:12" ht="15.5" x14ac:dyDescent="0.35">
      <c r="A1" s="135" t="s">
        <v>342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 ht="15.5" x14ac:dyDescent="0.3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 ht="17.5" x14ac:dyDescent="0.35">
      <c r="A3" s="266" t="s">
        <v>35</v>
      </c>
      <c r="B3" s="266"/>
      <c r="C3" s="266"/>
      <c r="D3" s="266"/>
      <c r="E3" s="266"/>
      <c r="F3" s="266"/>
      <c r="G3" s="266"/>
      <c r="H3" s="266"/>
      <c r="I3" s="266"/>
      <c r="J3" s="266"/>
      <c r="K3" s="266"/>
      <c r="L3" s="4"/>
    </row>
    <row r="4" spans="1:12" ht="87.5" x14ac:dyDescent="0.35">
      <c r="A4" s="136" t="s">
        <v>36</v>
      </c>
      <c r="B4" s="136" t="s">
        <v>37</v>
      </c>
      <c r="C4" s="136" t="s">
        <v>38</v>
      </c>
      <c r="D4" s="136" t="s">
        <v>39</v>
      </c>
      <c r="E4" s="136" t="s">
        <v>40</v>
      </c>
      <c r="F4" s="136" t="s">
        <v>41</v>
      </c>
      <c r="G4" s="136" t="s">
        <v>42</v>
      </c>
      <c r="H4" s="136" t="s">
        <v>43</v>
      </c>
      <c r="I4" s="137" t="s">
        <v>44</v>
      </c>
      <c r="J4" s="136" t="s">
        <v>45</v>
      </c>
      <c r="K4" s="137" t="s">
        <v>44</v>
      </c>
      <c r="L4" s="136" t="s">
        <v>47</v>
      </c>
    </row>
    <row r="5" spans="1:12" ht="70" x14ac:dyDescent="0.35">
      <c r="A5" s="138" t="s">
        <v>36</v>
      </c>
      <c r="B5" s="139" t="s">
        <v>37</v>
      </c>
      <c r="C5" s="139" t="s">
        <v>38</v>
      </c>
      <c r="D5" s="139" t="s">
        <v>111</v>
      </c>
      <c r="E5" s="139" t="s">
        <v>112</v>
      </c>
      <c r="F5" s="139" t="s">
        <v>113</v>
      </c>
      <c r="G5" s="139" t="s">
        <v>114</v>
      </c>
      <c r="H5" s="139" t="s">
        <v>115</v>
      </c>
      <c r="I5" s="140" t="s">
        <v>44</v>
      </c>
      <c r="J5" s="139" t="s">
        <v>116</v>
      </c>
      <c r="K5" s="140" t="s">
        <v>117</v>
      </c>
      <c r="L5" s="141" t="s">
        <v>47</v>
      </c>
    </row>
    <row r="6" spans="1:12" ht="52.5" x14ac:dyDescent="0.35">
      <c r="A6" s="142" t="s">
        <v>70</v>
      </c>
      <c r="B6" s="142" t="s">
        <v>60</v>
      </c>
      <c r="C6" s="142" t="s">
        <v>71</v>
      </c>
      <c r="D6" s="143">
        <v>25</v>
      </c>
      <c r="E6" s="143">
        <v>1.4</v>
      </c>
      <c r="F6" s="143">
        <v>296</v>
      </c>
      <c r="G6" s="143">
        <v>60</v>
      </c>
      <c r="H6" s="143">
        <v>1.02</v>
      </c>
      <c r="I6" s="144">
        <f t="shared" ref="I6:I37" si="0">(G6*E6)*H6</f>
        <v>85.68</v>
      </c>
      <c r="J6" s="143">
        <v>1.1000000000000001</v>
      </c>
      <c r="K6" s="144">
        <f t="shared" ref="K6:K37" si="1">(G6*E6)*J6</f>
        <v>92.4</v>
      </c>
      <c r="L6" s="142" t="s">
        <v>54</v>
      </c>
    </row>
    <row r="7" spans="1:12" ht="87.5" x14ac:dyDescent="0.35">
      <c r="A7" s="142" t="s">
        <v>75</v>
      </c>
      <c r="B7" s="142" t="s">
        <v>68</v>
      </c>
      <c r="C7" s="142" t="s">
        <v>76</v>
      </c>
      <c r="D7" s="143">
        <v>100</v>
      </c>
      <c r="E7" s="143">
        <v>118.3</v>
      </c>
      <c r="F7" s="143">
        <v>4717.8</v>
      </c>
      <c r="G7" s="143">
        <v>33</v>
      </c>
      <c r="H7" s="143">
        <v>1.5</v>
      </c>
      <c r="I7" s="144">
        <f t="shared" si="0"/>
        <v>5855.85</v>
      </c>
      <c r="J7" s="143">
        <v>0</v>
      </c>
      <c r="K7" s="144">
        <f t="shared" si="1"/>
        <v>0</v>
      </c>
      <c r="L7" s="142" t="s">
        <v>54</v>
      </c>
    </row>
    <row r="8" spans="1:12" ht="122.5" x14ac:dyDescent="0.35">
      <c r="A8" s="142" t="s">
        <v>75</v>
      </c>
      <c r="B8" s="142" t="s">
        <v>65</v>
      </c>
      <c r="C8" s="142" t="s">
        <v>76</v>
      </c>
      <c r="D8" s="143">
        <v>100</v>
      </c>
      <c r="E8" s="143">
        <v>22</v>
      </c>
      <c r="F8" s="143">
        <v>883.1</v>
      </c>
      <c r="G8" s="143">
        <v>33</v>
      </c>
      <c r="H8" s="143">
        <v>1.5</v>
      </c>
      <c r="I8" s="144">
        <f t="shared" si="0"/>
        <v>1089</v>
      </c>
      <c r="J8" s="143">
        <v>0</v>
      </c>
      <c r="K8" s="144">
        <f t="shared" si="1"/>
        <v>0</v>
      </c>
      <c r="L8" s="142" t="s">
        <v>57</v>
      </c>
    </row>
    <row r="9" spans="1:12" ht="87.5" x14ac:dyDescent="0.35">
      <c r="A9" s="142" t="s">
        <v>75</v>
      </c>
      <c r="B9" s="142" t="s">
        <v>92</v>
      </c>
      <c r="C9" s="142" t="s">
        <v>76</v>
      </c>
      <c r="D9" s="143">
        <v>450</v>
      </c>
      <c r="E9" s="143">
        <v>194.7</v>
      </c>
      <c r="F9" s="143">
        <v>7787.1</v>
      </c>
      <c r="G9" s="143">
        <v>33</v>
      </c>
      <c r="H9" s="143">
        <v>1.5</v>
      </c>
      <c r="I9" s="144">
        <f t="shared" si="0"/>
        <v>9637.65</v>
      </c>
      <c r="J9" s="143">
        <v>0</v>
      </c>
      <c r="K9" s="144">
        <f t="shared" si="1"/>
        <v>0</v>
      </c>
      <c r="L9" s="142" t="s">
        <v>57</v>
      </c>
    </row>
    <row r="10" spans="1:12" ht="105" x14ac:dyDescent="0.35">
      <c r="A10" s="142" t="s">
        <v>50</v>
      </c>
      <c r="B10" s="142" t="s">
        <v>67</v>
      </c>
      <c r="C10" s="142" t="s">
        <v>52</v>
      </c>
      <c r="D10" s="143">
        <v>220</v>
      </c>
      <c r="E10" s="143">
        <v>237</v>
      </c>
      <c r="F10" s="143">
        <v>118498.5</v>
      </c>
      <c r="G10" s="143">
        <v>61</v>
      </c>
      <c r="H10" s="143">
        <v>1.5</v>
      </c>
      <c r="I10" s="144">
        <f t="shared" si="0"/>
        <v>21685.5</v>
      </c>
      <c r="J10" s="143">
        <v>0</v>
      </c>
      <c r="K10" s="144">
        <f t="shared" si="1"/>
        <v>0</v>
      </c>
      <c r="L10" s="142" t="s">
        <v>54</v>
      </c>
    </row>
    <row r="11" spans="1:12" ht="105" x14ac:dyDescent="0.35">
      <c r="A11" s="145" t="s">
        <v>50</v>
      </c>
      <c r="B11" s="145" t="s">
        <v>51</v>
      </c>
      <c r="C11" s="145" t="s">
        <v>52</v>
      </c>
      <c r="D11" s="146">
        <v>250</v>
      </c>
      <c r="E11" s="146">
        <v>0</v>
      </c>
      <c r="F11" s="146">
        <v>0</v>
      </c>
      <c r="G11" s="146">
        <v>61</v>
      </c>
      <c r="H11" s="146">
        <v>1.5</v>
      </c>
      <c r="I11" s="147">
        <f t="shared" si="0"/>
        <v>0</v>
      </c>
      <c r="J11" s="146">
        <v>0</v>
      </c>
      <c r="K11" s="147">
        <f t="shared" si="1"/>
        <v>0</v>
      </c>
      <c r="L11" s="145" t="s">
        <v>54</v>
      </c>
    </row>
    <row r="12" spans="1:12" ht="122.5" x14ac:dyDescent="0.35">
      <c r="A12" s="142" t="s">
        <v>50</v>
      </c>
      <c r="B12" s="142" t="s">
        <v>88</v>
      </c>
      <c r="C12" s="142" t="s">
        <v>52</v>
      </c>
      <c r="D12" s="143">
        <v>140</v>
      </c>
      <c r="E12" s="143">
        <v>8.3000000000000007</v>
      </c>
      <c r="F12" s="143">
        <v>4163.8</v>
      </c>
      <c r="G12" s="143">
        <v>61</v>
      </c>
      <c r="H12" s="143">
        <v>1.5</v>
      </c>
      <c r="I12" s="144">
        <f t="shared" si="0"/>
        <v>759.45</v>
      </c>
      <c r="J12" s="143">
        <v>0</v>
      </c>
      <c r="K12" s="144">
        <f t="shared" si="1"/>
        <v>0</v>
      </c>
      <c r="L12" s="142" t="s">
        <v>54</v>
      </c>
    </row>
    <row r="13" spans="1:12" ht="70" x14ac:dyDescent="0.35">
      <c r="A13" s="142" t="s">
        <v>50</v>
      </c>
      <c r="B13" s="142" t="s">
        <v>68</v>
      </c>
      <c r="C13" s="142" t="s">
        <v>52</v>
      </c>
      <c r="D13" s="143">
        <v>30</v>
      </c>
      <c r="E13" s="143">
        <v>42</v>
      </c>
      <c r="F13" s="143">
        <v>21393.7</v>
      </c>
      <c r="G13" s="143">
        <v>61</v>
      </c>
      <c r="H13" s="143">
        <v>1.5</v>
      </c>
      <c r="I13" s="144">
        <f t="shared" si="0"/>
        <v>3843</v>
      </c>
      <c r="J13" s="143">
        <v>0</v>
      </c>
      <c r="K13" s="144">
        <f t="shared" si="1"/>
        <v>0</v>
      </c>
      <c r="L13" s="142" t="s">
        <v>57</v>
      </c>
    </row>
    <row r="14" spans="1:12" ht="122.5" x14ac:dyDescent="0.35">
      <c r="A14" s="142" t="s">
        <v>50</v>
      </c>
      <c r="B14" s="142" t="s">
        <v>65</v>
      </c>
      <c r="C14" s="142" t="s">
        <v>52</v>
      </c>
      <c r="D14" s="143">
        <v>30</v>
      </c>
      <c r="E14" s="143">
        <v>5.5</v>
      </c>
      <c r="F14" s="143">
        <v>3996.8</v>
      </c>
      <c r="G14" s="143">
        <v>61</v>
      </c>
      <c r="H14" s="143">
        <v>1.5</v>
      </c>
      <c r="I14" s="144">
        <f t="shared" si="0"/>
        <v>503.25</v>
      </c>
      <c r="J14" s="143">
        <v>0</v>
      </c>
      <c r="K14" s="144">
        <f t="shared" si="1"/>
        <v>0</v>
      </c>
      <c r="L14" s="142" t="s">
        <v>57</v>
      </c>
    </row>
    <row r="15" spans="1:12" ht="87.5" x14ac:dyDescent="0.35">
      <c r="A15" s="142" t="s">
        <v>50</v>
      </c>
      <c r="B15" s="142" t="s">
        <v>102</v>
      </c>
      <c r="C15" s="142" t="s">
        <v>52</v>
      </c>
      <c r="D15" s="143">
        <v>50</v>
      </c>
      <c r="E15" s="143">
        <v>43</v>
      </c>
      <c r="F15" s="143">
        <v>21801.3</v>
      </c>
      <c r="G15" s="143">
        <v>61</v>
      </c>
      <c r="H15" s="143">
        <v>1.5</v>
      </c>
      <c r="I15" s="144">
        <f t="shared" si="0"/>
        <v>3934.5</v>
      </c>
      <c r="J15" s="143">
        <v>0</v>
      </c>
      <c r="K15" s="144">
        <f t="shared" si="1"/>
        <v>0</v>
      </c>
      <c r="L15" s="142" t="s">
        <v>54</v>
      </c>
    </row>
    <row r="16" spans="1:12" ht="122.5" x14ac:dyDescent="0.35">
      <c r="A16" s="142" t="s">
        <v>50</v>
      </c>
      <c r="B16" s="142" t="s">
        <v>63</v>
      </c>
      <c r="C16" s="142" t="s">
        <v>52</v>
      </c>
      <c r="D16" s="143">
        <v>68</v>
      </c>
      <c r="E16" s="143">
        <v>16.600000000000001</v>
      </c>
      <c r="F16" s="143">
        <v>8027.3</v>
      </c>
      <c r="G16" s="143">
        <v>61</v>
      </c>
      <c r="H16" s="143">
        <v>1.5</v>
      </c>
      <c r="I16" s="144">
        <f t="shared" si="0"/>
        <v>1518.9</v>
      </c>
      <c r="J16" s="143">
        <v>0</v>
      </c>
      <c r="K16" s="144">
        <f t="shared" si="1"/>
        <v>0</v>
      </c>
      <c r="L16" s="142" t="s">
        <v>54</v>
      </c>
    </row>
    <row r="17" spans="1:12" ht="157.5" x14ac:dyDescent="0.35">
      <c r="A17" s="142" t="s">
        <v>50</v>
      </c>
      <c r="B17" s="142" t="s">
        <v>93</v>
      </c>
      <c r="C17" s="142" t="s">
        <v>52</v>
      </c>
      <c r="D17" s="143">
        <v>66</v>
      </c>
      <c r="E17" s="143">
        <v>19.399999999999999</v>
      </c>
      <c r="F17" s="143">
        <v>10417.200000000001</v>
      </c>
      <c r="G17" s="143">
        <v>61</v>
      </c>
      <c r="H17" s="143">
        <v>1.5</v>
      </c>
      <c r="I17" s="144">
        <f t="shared" si="0"/>
        <v>1775.1</v>
      </c>
      <c r="J17" s="143">
        <v>0</v>
      </c>
      <c r="K17" s="144">
        <f t="shared" si="1"/>
        <v>0</v>
      </c>
      <c r="L17" s="142" t="s">
        <v>54</v>
      </c>
    </row>
    <row r="18" spans="1:12" ht="122.5" x14ac:dyDescent="0.35">
      <c r="A18" s="142" t="s">
        <v>50</v>
      </c>
      <c r="B18" s="142" t="s">
        <v>62</v>
      </c>
      <c r="C18" s="142" t="s">
        <v>52</v>
      </c>
      <c r="D18" s="143">
        <v>98</v>
      </c>
      <c r="E18" s="143">
        <v>21.6</v>
      </c>
      <c r="F18" s="143">
        <v>10568.4</v>
      </c>
      <c r="G18" s="143">
        <v>61</v>
      </c>
      <c r="H18" s="143">
        <v>1.5</v>
      </c>
      <c r="I18" s="144">
        <f t="shared" si="0"/>
        <v>1976.4</v>
      </c>
      <c r="J18" s="143">
        <v>0</v>
      </c>
      <c r="K18" s="144">
        <f t="shared" si="1"/>
        <v>0</v>
      </c>
      <c r="L18" s="142" t="s">
        <v>57</v>
      </c>
    </row>
    <row r="19" spans="1:12" ht="70" x14ac:dyDescent="0.35">
      <c r="A19" s="142" t="s">
        <v>50</v>
      </c>
      <c r="B19" s="142" t="s">
        <v>97</v>
      </c>
      <c r="C19" s="142" t="s">
        <v>52</v>
      </c>
      <c r="D19" s="143">
        <v>66</v>
      </c>
      <c r="E19" s="143">
        <v>71.5</v>
      </c>
      <c r="F19" s="143">
        <v>35262.9</v>
      </c>
      <c r="G19" s="143">
        <v>61</v>
      </c>
      <c r="H19" s="143">
        <v>1.5</v>
      </c>
      <c r="I19" s="144">
        <f t="shared" si="0"/>
        <v>6542.25</v>
      </c>
      <c r="J19" s="143">
        <v>0</v>
      </c>
      <c r="K19" s="144">
        <f t="shared" si="1"/>
        <v>0</v>
      </c>
      <c r="L19" s="142" t="s">
        <v>54</v>
      </c>
    </row>
    <row r="20" spans="1:12" ht="52.5" x14ac:dyDescent="0.35">
      <c r="A20" s="142" t="s">
        <v>72</v>
      </c>
      <c r="B20" s="142" t="s">
        <v>84</v>
      </c>
      <c r="C20" s="142" t="s">
        <v>74</v>
      </c>
      <c r="D20" s="143">
        <v>300</v>
      </c>
      <c r="E20" s="143">
        <v>104.5</v>
      </c>
      <c r="F20" s="143">
        <v>2917.9</v>
      </c>
      <c r="G20" s="143">
        <v>16</v>
      </c>
      <c r="H20" s="143">
        <v>3.5</v>
      </c>
      <c r="I20" s="144">
        <f t="shared" si="0"/>
        <v>5852</v>
      </c>
      <c r="J20" s="143">
        <v>0</v>
      </c>
      <c r="K20" s="144">
        <f t="shared" si="1"/>
        <v>0</v>
      </c>
      <c r="L20" s="142" t="s">
        <v>54</v>
      </c>
    </row>
    <row r="21" spans="1:12" ht="70" x14ac:dyDescent="0.35">
      <c r="A21" s="142" t="s">
        <v>72</v>
      </c>
      <c r="B21" s="142" t="s">
        <v>73</v>
      </c>
      <c r="C21" s="142" t="s">
        <v>74</v>
      </c>
      <c r="D21" s="143">
        <v>250</v>
      </c>
      <c r="E21" s="143">
        <v>13.9</v>
      </c>
      <c r="F21" s="143">
        <v>388.1</v>
      </c>
      <c r="G21" s="143">
        <v>16</v>
      </c>
      <c r="H21" s="143">
        <v>3.5</v>
      </c>
      <c r="I21" s="144">
        <f t="shared" si="0"/>
        <v>778.4</v>
      </c>
      <c r="J21" s="143">
        <v>0</v>
      </c>
      <c r="K21" s="144">
        <f t="shared" si="1"/>
        <v>0</v>
      </c>
      <c r="L21" s="142" t="s">
        <v>54</v>
      </c>
    </row>
    <row r="22" spans="1:12" ht="52.5" x14ac:dyDescent="0.35">
      <c r="A22" s="142" t="s">
        <v>72</v>
      </c>
      <c r="B22" s="142" t="s">
        <v>77</v>
      </c>
      <c r="C22" s="142" t="s">
        <v>74</v>
      </c>
      <c r="D22" s="143">
        <v>140</v>
      </c>
      <c r="E22" s="143">
        <v>37.6</v>
      </c>
      <c r="F22" s="143">
        <v>1051.9000000000001</v>
      </c>
      <c r="G22" s="143">
        <v>16</v>
      </c>
      <c r="H22" s="143">
        <v>3.5</v>
      </c>
      <c r="I22" s="144">
        <f t="shared" si="0"/>
        <v>2105.6</v>
      </c>
      <c r="J22" s="143">
        <v>0</v>
      </c>
      <c r="K22" s="144">
        <f t="shared" si="1"/>
        <v>0</v>
      </c>
      <c r="L22" s="142" t="s">
        <v>54</v>
      </c>
    </row>
    <row r="23" spans="1:12" ht="70" x14ac:dyDescent="0.35">
      <c r="A23" s="142" t="s">
        <v>95</v>
      </c>
      <c r="B23" s="142" t="s">
        <v>107</v>
      </c>
      <c r="C23" s="142" t="s">
        <v>31</v>
      </c>
      <c r="D23" s="143">
        <v>270</v>
      </c>
      <c r="E23" s="143">
        <v>89</v>
      </c>
      <c r="F23" s="143">
        <v>115655.8</v>
      </c>
      <c r="G23" s="143">
        <v>1410</v>
      </c>
      <c r="H23" s="143">
        <v>0.17</v>
      </c>
      <c r="I23" s="144">
        <f t="shared" si="0"/>
        <v>21333.300000000003</v>
      </c>
      <c r="J23" s="143">
        <v>0</v>
      </c>
      <c r="K23" s="144">
        <f t="shared" si="1"/>
        <v>0</v>
      </c>
      <c r="L23" s="142" t="s">
        <v>54</v>
      </c>
    </row>
    <row r="24" spans="1:12" ht="70" x14ac:dyDescent="0.35">
      <c r="A24" s="142" t="s">
        <v>95</v>
      </c>
      <c r="B24" s="142" t="s">
        <v>77</v>
      </c>
      <c r="C24" s="142" t="s">
        <v>30</v>
      </c>
      <c r="D24" s="143">
        <v>100</v>
      </c>
      <c r="E24" s="143">
        <v>27.1</v>
      </c>
      <c r="F24" s="143">
        <v>65022.3</v>
      </c>
      <c r="G24" s="143">
        <v>2375</v>
      </c>
      <c r="H24" s="143">
        <v>0.15</v>
      </c>
      <c r="I24" s="144">
        <f t="shared" si="0"/>
        <v>9654.375</v>
      </c>
      <c r="J24" s="143">
        <v>0</v>
      </c>
      <c r="K24" s="144">
        <f t="shared" si="1"/>
        <v>0</v>
      </c>
      <c r="L24" s="142" t="s">
        <v>54</v>
      </c>
    </row>
    <row r="25" spans="1:12" ht="70" x14ac:dyDescent="0.35">
      <c r="A25" s="142" t="s">
        <v>95</v>
      </c>
      <c r="B25" s="142" t="s">
        <v>77</v>
      </c>
      <c r="C25" s="142" t="s">
        <v>30</v>
      </c>
      <c r="D25" s="143">
        <v>200</v>
      </c>
      <c r="E25" s="143">
        <v>52.9</v>
      </c>
      <c r="F25" s="143">
        <v>126894.5</v>
      </c>
      <c r="G25" s="143">
        <v>2375</v>
      </c>
      <c r="H25" s="143">
        <v>0.15</v>
      </c>
      <c r="I25" s="144">
        <f t="shared" si="0"/>
        <v>18845.625</v>
      </c>
      <c r="J25" s="143">
        <v>0</v>
      </c>
      <c r="K25" s="144">
        <f t="shared" si="1"/>
        <v>0</v>
      </c>
      <c r="L25" s="142" t="s">
        <v>54</v>
      </c>
    </row>
    <row r="26" spans="1:12" ht="70" x14ac:dyDescent="0.35">
      <c r="A26" s="142" t="s">
        <v>95</v>
      </c>
      <c r="B26" s="142" t="s">
        <v>106</v>
      </c>
      <c r="C26" s="142" t="s">
        <v>30</v>
      </c>
      <c r="D26" s="143">
        <v>440</v>
      </c>
      <c r="E26" s="143">
        <v>31.6</v>
      </c>
      <c r="F26" s="143">
        <v>75898.3</v>
      </c>
      <c r="G26" s="143">
        <v>2375</v>
      </c>
      <c r="H26" s="143">
        <v>0.15</v>
      </c>
      <c r="I26" s="144">
        <f t="shared" si="0"/>
        <v>11257.5</v>
      </c>
      <c r="J26" s="143">
        <v>0</v>
      </c>
      <c r="K26" s="144">
        <f t="shared" si="1"/>
        <v>0</v>
      </c>
      <c r="L26" s="142" t="s">
        <v>54</v>
      </c>
    </row>
    <row r="27" spans="1:12" ht="70" x14ac:dyDescent="0.35">
      <c r="A27" s="142" t="s">
        <v>95</v>
      </c>
      <c r="B27" s="142" t="s">
        <v>104</v>
      </c>
      <c r="C27" s="142" t="s">
        <v>30</v>
      </c>
      <c r="D27" s="143">
        <v>200</v>
      </c>
      <c r="E27" s="143">
        <v>16.3</v>
      </c>
      <c r="F27" s="143">
        <v>38202.800000000003</v>
      </c>
      <c r="G27" s="143">
        <v>2375</v>
      </c>
      <c r="H27" s="143">
        <v>0.15</v>
      </c>
      <c r="I27" s="144">
        <f t="shared" si="0"/>
        <v>5806.875</v>
      </c>
      <c r="J27" s="143">
        <v>0</v>
      </c>
      <c r="K27" s="144">
        <f t="shared" si="1"/>
        <v>0</v>
      </c>
      <c r="L27" s="142" t="s">
        <v>54</v>
      </c>
    </row>
    <row r="28" spans="1:12" ht="70" x14ac:dyDescent="0.35">
      <c r="A28" s="142" t="s">
        <v>95</v>
      </c>
      <c r="B28" s="142" t="s">
        <v>96</v>
      </c>
      <c r="C28" s="142" t="s">
        <v>30</v>
      </c>
      <c r="D28" s="143">
        <v>300</v>
      </c>
      <c r="E28" s="143">
        <v>3.8</v>
      </c>
      <c r="F28" s="143">
        <v>9014</v>
      </c>
      <c r="G28" s="143">
        <v>2375</v>
      </c>
      <c r="H28" s="143">
        <v>0.15</v>
      </c>
      <c r="I28" s="144">
        <f t="shared" si="0"/>
        <v>1353.75</v>
      </c>
      <c r="J28" s="143">
        <v>0</v>
      </c>
      <c r="K28" s="144">
        <f t="shared" si="1"/>
        <v>0</v>
      </c>
      <c r="L28" s="142" t="s">
        <v>54</v>
      </c>
    </row>
    <row r="29" spans="1:12" ht="105" x14ac:dyDescent="0.35">
      <c r="A29" s="142" t="s">
        <v>89</v>
      </c>
      <c r="B29" s="142" t="s">
        <v>67</v>
      </c>
      <c r="C29" s="142" t="s">
        <v>20</v>
      </c>
      <c r="D29" s="143">
        <v>80</v>
      </c>
      <c r="E29" s="143">
        <v>84.5</v>
      </c>
      <c r="F29" s="143">
        <v>59234.9</v>
      </c>
      <c r="G29" s="143">
        <v>470</v>
      </c>
      <c r="H29" s="143">
        <v>0.2</v>
      </c>
      <c r="I29" s="144">
        <f t="shared" si="0"/>
        <v>7943</v>
      </c>
      <c r="J29" s="143">
        <v>1.6</v>
      </c>
      <c r="K29" s="144">
        <f t="shared" si="1"/>
        <v>63544</v>
      </c>
      <c r="L29" s="142" t="s">
        <v>54</v>
      </c>
    </row>
    <row r="30" spans="1:12" ht="35" x14ac:dyDescent="0.35">
      <c r="A30" s="142" t="s">
        <v>89</v>
      </c>
      <c r="B30" s="142" t="s">
        <v>202</v>
      </c>
      <c r="C30" s="142" t="s">
        <v>24</v>
      </c>
      <c r="D30" s="143">
        <v>51</v>
      </c>
      <c r="E30" s="143">
        <v>96.8</v>
      </c>
      <c r="F30" s="143">
        <v>61423.6</v>
      </c>
      <c r="G30" s="143">
        <v>470</v>
      </c>
      <c r="H30" s="143">
        <v>0.36</v>
      </c>
      <c r="I30" s="144">
        <f t="shared" si="0"/>
        <v>16378.56</v>
      </c>
      <c r="J30" s="143">
        <v>1.6</v>
      </c>
      <c r="K30" s="144">
        <f t="shared" si="1"/>
        <v>72793.600000000006</v>
      </c>
      <c r="L30" s="142" t="s">
        <v>54</v>
      </c>
    </row>
    <row r="31" spans="1:12" ht="70" x14ac:dyDescent="0.35">
      <c r="A31" s="142" t="s">
        <v>89</v>
      </c>
      <c r="B31" s="142" t="s">
        <v>68</v>
      </c>
      <c r="C31" s="142" t="s">
        <v>20</v>
      </c>
      <c r="D31" s="143">
        <v>80</v>
      </c>
      <c r="E31" s="143">
        <v>114.5</v>
      </c>
      <c r="F31" s="143">
        <v>79932.399999999994</v>
      </c>
      <c r="G31" s="143">
        <v>470</v>
      </c>
      <c r="H31" s="143">
        <v>0.2</v>
      </c>
      <c r="I31" s="144">
        <f t="shared" si="0"/>
        <v>10763</v>
      </c>
      <c r="J31" s="143">
        <v>1.6</v>
      </c>
      <c r="K31" s="144">
        <f t="shared" si="1"/>
        <v>86104</v>
      </c>
      <c r="L31" s="142" t="s">
        <v>54</v>
      </c>
    </row>
    <row r="32" spans="1:12" ht="122.5" x14ac:dyDescent="0.35">
      <c r="A32" s="142" t="s">
        <v>89</v>
      </c>
      <c r="B32" s="142" t="s">
        <v>65</v>
      </c>
      <c r="C32" s="142" t="s">
        <v>20</v>
      </c>
      <c r="D32" s="143">
        <v>80</v>
      </c>
      <c r="E32" s="143">
        <v>22</v>
      </c>
      <c r="F32" s="143">
        <v>14923.1</v>
      </c>
      <c r="G32" s="143">
        <v>470</v>
      </c>
      <c r="H32" s="143">
        <v>0.2</v>
      </c>
      <c r="I32" s="144">
        <f t="shared" si="0"/>
        <v>2068</v>
      </c>
      <c r="J32" s="143">
        <v>1.6</v>
      </c>
      <c r="K32" s="144">
        <f t="shared" si="1"/>
        <v>16544</v>
      </c>
      <c r="L32" s="142" t="s">
        <v>57</v>
      </c>
    </row>
    <row r="33" spans="1:12" ht="70" x14ac:dyDescent="0.35">
      <c r="A33" s="142" t="s">
        <v>89</v>
      </c>
      <c r="B33" s="142" t="s">
        <v>69</v>
      </c>
      <c r="C33" s="142" t="s">
        <v>20</v>
      </c>
      <c r="D33" s="143">
        <v>120</v>
      </c>
      <c r="E33" s="143">
        <v>28.5</v>
      </c>
      <c r="F33" s="143">
        <v>19964.8</v>
      </c>
      <c r="G33" s="143">
        <v>470</v>
      </c>
      <c r="H33" s="143">
        <v>0.2</v>
      </c>
      <c r="I33" s="144">
        <f t="shared" si="0"/>
        <v>2679</v>
      </c>
      <c r="J33" s="143">
        <v>1.6</v>
      </c>
      <c r="K33" s="144">
        <f t="shared" si="1"/>
        <v>21432</v>
      </c>
      <c r="L33" s="142" t="s">
        <v>57</v>
      </c>
    </row>
    <row r="34" spans="1:12" ht="87.5" x14ac:dyDescent="0.35">
      <c r="A34" s="142" t="s">
        <v>89</v>
      </c>
      <c r="B34" s="142" t="s">
        <v>102</v>
      </c>
      <c r="C34" s="142" t="s">
        <v>20</v>
      </c>
      <c r="D34" s="143">
        <v>80</v>
      </c>
      <c r="E34" s="143">
        <v>137.6</v>
      </c>
      <c r="F34" s="143">
        <v>97436.3</v>
      </c>
      <c r="G34" s="143">
        <v>470</v>
      </c>
      <c r="H34" s="143">
        <v>0.2</v>
      </c>
      <c r="I34" s="144">
        <f t="shared" si="0"/>
        <v>12934.400000000001</v>
      </c>
      <c r="J34" s="143">
        <v>1.6</v>
      </c>
      <c r="K34" s="144">
        <f t="shared" si="1"/>
        <v>103475.20000000001</v>
      </c>
      <c r="L34" s="142" t="s">
        <v>54</v>
      </c>
    </row>
    <row r="35" spans="1:12" ht="122.5" x14ac:dyDescent="0.35">
      <c r="A35" s="142" t="s">
        <v>89</v>
      </c>
      <c r="B35" s="142" t="s">
        <v>63</v>
      </c>
      <c r="C35" s="142" t="s">
        <v>20</v>
      </c>
      <c r="D35" s="143">
        <v>80</v>
      </c>
      <c r="E35" s="143">
        <v>19</v>
      </c>
      <c r="F35" s="143">
        <v>13420.7</v>
      </c>
      <c r="G35" s="143">
        <v>470</v>
      </c>
      <c r="H35" s="143">
        <v>0.2</v>
      </c>
      <c r="I35" s="144">
        <f t="shared" si="0"/>
        <v>1786</v>
      </c>
      <c r="J35" s="143">
        <v>1.6</v>
      </c>
      <c r="K35" s="144">
        <f t="shared" si="1"/>
        <v>14288</v>
      </c>
      <c r="L35" s="142" t="s">
        <v>54</v>
      </c>
    </row>
    <row r="36" spans="1:12" ht="175" x14ac:dyDescent="0.35">
      <c r="A36" s="142" t="s">
        <v>89</v>
      </c>
      <c r="B36" s="142" t="s">
        <v>85</v>
      </c>
      <c r="C36" s="142" t="s">
        <v>20</v>
      </c>
      <c r="D36" s="143">
        <v>80</v>
      </c>
      <c r="E36" s="143">
        <v>23.1</v>
      </c>
      <c r="F36" s="143">
        <v>15650.7</v>
      </c>
      <c r="G36" s="143">
        <v>470</v>
      </c>
      <c r="H36" s="143">
        <v>0.2</v>
      </c>
      <c r="I36" s="144">
        <f t="shared" si="0"/>
        <v>2171.4</v>
      </c>
      <c r="J36" s="143">
        <v>1.6</v>
      </c>
      <c r="K36" s="144">
        <f t="shared" si="1"/>
        <v>17371.2</v>
      </c>
      <c r="L36" s="142" t="s">
        <v>57</v>
      </c>
    </row>
    <row r="37" spans="1:12" ht="52.5" x14ac:dyDescent="0.35">
      <c r="A37" s="142" t="s">
        <v>89</v>
      </c>
      <c r="B37" s="142" t="s">
        <v>80</v>
      </c>
      <c r="C37" s="142" t="s">
        <v>20</v>
      </c>
      <c r="D37" s="143">
        <v>80</v>
      </c>
      <c r="E37" s="143">
        <v>8.6</v>
      </c>
      <c r="F37" s="143">
        <v>6086.4</v>
      </c>
      <c r="G37" s="143">
        <v>470</v>
      </c>
      <c r="H37" s="143">
        <v>0.2</v>
      </c>
      <c r="I37" s="144">
        <f t="shared" si="0"/>
        <v>808.40000000000009</v>
      </c>
      <c r="J37" s="143">
        <v>1.6</v>
      </c>
      <c r="K37" s="144">
        <f t="shared" si="1"/>
        <v>6467.2000000000007</v>
      </c>
      <c r="L37" s="142" t="s">
        <v>54</v>
      </c>
    </row>
    <row r="38" spans="1:12" ht="122.5" x14ac:dyDescent="0.35">
      <c r="A38" s="142" t="s">
        <v>89</v>
      </c>
      <c r="B38" s="142" t="s">
        <v>62</v>
      </c>
      <c r="C38" s="142" t="s">
        <v>20</v>
      </c>
      <c r="D38" s="143">
        <v>80</v>
      </c>
      <c r="E38" s="143">
        <v>16.399999999999999</v>
      </c>
      <c r="F38" s="143">
        <v>11803.5</v>
      </c>
      <c r="G38" s="143">
        <v>470</v>
      </c>
      <c r="H38" s="143">
        <v>0.2</v>
      </c>
      <c r="I38" s="144">
        <f t="shared" ref="I38:I69" si="2">(G38*E38)*H38</f>
        <v>1541.6</v>
      </c>
      <c r="J38" s="143">
        <v>1.6</v>
      </c>
      <c r="K38" s="144">
        <f t="shared" ref="K38:K69" si="3">(G38*E38)*J38</f>
        <v>12332.8</v>
      </c>
      <c r="L38" s="142" t="s">
        <v>57</v>
      </c>
    </row>
    <row r="39" spans="1:12" ht="87.5" x14ac:dyDescent="0.35">
      <c r="A39" s="142" t="s">
        <v>89</v>
      </c>
      <c r="B39" s="142" t="s">
        <v>92</v>
      </c>
      <c r="C39" s="142" t="s">
        <v>20</v>
      </c>
      <c r="D39" s="143">
        <v>80</v>
      </c>
      <c r="E39" s="143">
        <v>34.6</v>
      </c>
      <c r="F39" s="143">
        <v>24226.7</v>
      </c>
      <c r="G39" s="143">
        <v>470</v>
      </c>
      <c r="H39" s="143">
        <v>0.2</v>
      </c>
      <c r="I39" s="144">
        <f t="shared" si="2"/>
        <v>3252.4</v>
      </c>
      <c r="J39" s="143">
        <v>1.6</v>
      </c>
      <c r="K39" s="144">
        <f t="shared" si="3"/>
        <v>26019.200000000001</v>
      </c>
      <c r="L39" s="142" t="s">
        <v>54</v>
      </c>
    </row>
    <row r="40" spans="1:12" ht="52.5" x14ac:dyDescent="0.35">
      <c r="A40" s="142" t="s">
        <v>90</v>
      </c>
      <c r="B40" s="142" t="s">
        <v>91</v>
      </c>
      <c r="C40" s="142" t="s">
        <v>22</v>
      </c>
      <c r="D40" s="143">
        <v>25</v>
      </c>
      <c r="E40" s="143">
        <v>14.8</v>
      </c>
      <c r="F40" s="143">
        <v>7424.4</v>
      </c>
      <c r="G40" s="143">
        <v>474</v>
      </c>
      <c r="H40" s="143">
        <v>0.09</v>
      </c>
      <c r="I40" s="144">
        <f t="shared" si="2"/>
        <v>631.36800000000005</v>
      </c>
      <c r="J40" s="143">
        <v>1.6</v>
      </c>
      <c r="K40" s="144">
        <f t="shared" si="3"/>
        <v>11224.320000000002</v>
      </c>
      <c r="L40" s="142" t="s">
        <v>54</v>
      </c>
    </row>
    <row r="41" spans="1:12" ht="52.5" x14ac:dyDescent="0.35">
      <c r="A41" s="142" t="s">
        <v>94</v>
      </c>
      <c r="B41" s="142" t="s">
        <v>91</v>
      </c>
      <c r="C41" s="142" t="s">
        <v>28</v>
      </c>
      <c r="D41" s="143">
        <v>1</v>
      </c>
      <c r="E41" s="143">
        <f>1.2/2</f>
        <v>0.6</v>
      </c>
      <c r="F41" s="143">
        <v>8553</v>
      </c>
      <c r="G41" s="143">
        <v>7850</v>
      </c>
      <c r="H41" s="143">
        <v>3.1</v>
      </c>
      <c r="I41" s="144">
        <f t="shared" si="2"/>
        <v>14601</v>
      </c>
      <c r="J41" s="143">
        <v>0</v>
      </c>
      <c r="K41" s="144">
        <f t="shared" si="3"/>
        <v>0</v>
      </c>
      <c r="L41" s="142" t="s">
        <v>54</v>
      </c>
    </row>
    <row r="42" spans="1:12" ht="52.5" x14ac:dyDescent="0.35">
      <c r="A42" s="142" t="s">
        <v>55</v>
      </c>
      <c r="B42" s="142" t="s">
        <v>84</v>
      </c>
      <c r="C42" s="142" t="s">
        <v>56</v>
      </c>
      <c r="D42" s="143">
        <v>100</v>
      </c>
      <c r="E42" s="143">
        <v>34.700000000000003</v>
      </c>
      <c r="F42" s="143">
        <v>81845.100000000006</v>
      </c>
      <c r="G42" s="143">
        <v>2363</v>
      </c>
      <c r="H42" s="143">
        <v>0.14000000000000001</v>
      </c>
      <c r="I42" s="144">
        <f t="shared" si="2"/>
        <v>11479.454000000002</v>
      </c>
      <c r="J42" s="143">
        <v>0</v>
      </c>
      <c r="K42" s="144">
        <f t="shared" si="3"/>
        <v>0</v>
      </c>
      <c r="L42" s="142" t="s">
        <v>57</v>
      </c>
    </row>
    <row r="43" spans="1:12" ht="70" x14ac:dyDescent="0.35">
      <c r="A43" s="142" t="s">
        <v>55</v>
      </c>
      <c r="B43" s="142" t="s">
        <v>73</v>
      </c>
      <c r="C43" s="142" t="s">
        <v>56</v>
      </c>
      <c r="D43" s="143">
        <v>150</v>
      </c>
      <c r="E43" s="143">
        <v>8.3000000000000007</v>
      </c>
      <c r="F43" s="143">
        <v>19539.400000000001</v>
      </c>
      <c r="G43" s="143">
        <v>2363</v>
      </c>
      <c r="H43" s="143">
        <v>0.14000000000000001</v>
      </c>
      <c r="I43" s="144">
        <f t="shared" si="2"/>
        <v>2745.8060000000005</v>
      </c>
      <c r="J43" s="143">
        <v>0</v>
      </c>
      <c r="K43" s="144">
        <f t="shared" si="3"/>
        <v>0</v>
      </c>
      <c r="L43" s="142" t="s">
        <v>57</v>
      </c>
    </row>
    <row r="44" spans="1:12" ht="105" x14ac:dyDescent="0.35">
      <c r="A44" s="145" t="s">
        <v>55</v>
      </c>
      <c r="B44" s="145" t="s">
        <v>51</v>
      </c>
      <c r="C44" s="145" t="s">
        <v>56</v>
      </c>
      <c r="D44" s="146">
        <v>70</v>
      </c>
      <c r="E44" s="146">
        <v>0</v>
      </c>
      <c r="F44" s="146">
        <v>0</v>
      </c>
      <c r="G44" s="146">
        <v>2363</v>
      </c>
      <c r="H44" s="146">
        <v>0.14000000000000001</v>
      </c>
      <c r="I44" s="147">
        <f t="shared" si="2"/>
        <v>0</v>
      </c>
      <c r="J44" s="146">
        <v>0</v>
      </c>
      <c r="K44" s="147">
        <f t="shared" si="3"/>
        <v>0</v>
      </c>
      <c r="L44" s="145" t="s">
        <v>57</v>
      </c>
    </row>
    <row r="45" spans="1:12" ht="122.5" x14ac:dyDescent="0.35">
      <c r="A45" s="142" t="s">
        <v>55</v>
      </c>
      <c r="B45" s="142" t="s">
        <v>88</v>
      </c>
      <c r="C45" s="142" t="s">
        <v>56</v>
      </c>
      <c r="D45" s="143">
        <v>100</v>
      </c>
      <c r="E45" s="143">
        <v>6</v>
      </c>
      <c r="F45" s="143">
        <v>14181.2</v>
      </c>
      <c r="G45" s="143">
        <v>2363</v>
      </c>
      <c r="H45" s="143">
        <v>0.14000000000000001</v>
      </c>
      <c r="I45" s="144">
        <f t="shared" si="2"/>
        <v>1984.9200000000003</v>
      </c>
      <c r="J45" s="143">
        <v>0</v>
      </c>
      <c r="K45" s="144">
        <f t="shared" si="3"/>
        <v>0</v>
      </c>
      <c r="L45" s="142" t="s">
        <v>57</v>
      </c>
    </row>
    <row r="46" spans="1:12" ht="87.5" x14ac:dyDescent="0.35">
      <c r="A46" s="142" t="s">
        <v>98</v>
      </c>
      <c r="B46" s="142" t="s">
        <v>99</v>
      </c>
      <c r="C46" s="142" t="s">
        <v>100</v>
      </c>
      <c r="D46" s="143">
        <v>125</v>
      </c>
      <c r="E46" s="143">
        <v>11.4</v>
      </c>
      <c r="F46" s="143">
        <v>16007.9</v>
      </c>
      <c r="G46" s="143">
        <v>644</v>
      </c>
      <c r="H46" s="143">
        <v>0.26</v>
      </c>
      <c r="I46" s="144">
        <f t="shared" si="2"/>
        <v>1908.8160000000003</v>
      </c>
      <c r="J46" s="143">
        <v>0</v>
      </c>
      <c r="K46" s="144">
        <f t="shared" si="3"/>
        <v>0</v>
      </c>
      <c r="L46" s="142" t="s">
        <v>57</v>
      </c>
    </row>
    <row r="47" spans="1:12" ht="70" x14ac:dyDescent="0.35">
      <c r="A47" s="142" t="s">
        <v>58</v>
      </c>
      <c r="B47" s="142" t="s">
        <v>166</v>
      </c>
      <c r="C47" s="142" t="s">
        <v>32</v>
      </c>
      <c r="D47" s="143">
        <v>540</v>
      </c>
      <c r="E47" s="143">
        <v>17.600000000000001</v>
      </c>
      <c r="F47" s="143">
        <v>42896.4</v>
      </c>
      <c r="G47" s="143">
        <v>2400</v>
      </c>
      <c r="H47" s="143">
        <v>0.19</v>
      </c>
      <c r="I47" s="144">
        <f t="shared" si="2"/>
        <v>8025.6</v>
      </c>
      <c r="J47" s="143">
        <v>0</v>
      </c>
      <c r="K47" s="144">
        <f t="shared" si="3"/>
        <v>0</v>
      </c>
      <c r="L47" s="142" t="s">
        <v>54</v>
      </c>
    </row>
    <row r="48" spans="1:12" ht="70" x14ac:dyDescent="0.35">
      <c r="A48" s="142" t="s">
        <v>58</v>
      </c>
      <c r="B48" s="142" t="s">
        <v>166</v>
      </c>
      <c r="C48" s="142" t="s">
        <v>32</v>
      </c>
      <c r="D48" s="143">
        <v>740</v>
      </c>
      <c r="E48" s="143">
        <v>20.399999999999999</v>
      </c>
      <c r="F48" s="143">
        <v>49174.7</v>
      </c>
      <c r="G48" s="143">
        <v>2400</v>
      </c>
      <c r="H48" s="143">
        <v>0.19</v>
      </c>
      <c r="I48" s="144">
        <f t="shared" si="2"/>
        <v>9302.4</v>
      </c>
      <c r="J48" s="143">
        <v>0</v>
      </c>
      <c r="K48" s="144">
        <f t="shared" si="3"/>
        <v>0</v>
      </c>
      <c r="L48" s="142" t="s">
        <v>54</v>
      </c>
    </row>
    <row r="49" spans="1:12" ht="105" x14ac:dyDescent="0.35">
      <c r="A49" s="145" t="s">
        <v>58</v>
      </c>
      <c r="B49" s="145" t="s">
        <v>51</v>
      </c>
      <c r="C49" s="145" t="s">
        <v>32</v>
      </c>
      <c r="D49" s="146">
        <v>150</v>
      </c>
      <c r="E49" s="146">
        <v>0</v>
      </c>
      <c r="F49" s="146">
        <v>0</v>
      </c>
      <c r="G49" s="146">
        <v>2400</v>
      </c>
      <c r="H49" s="146">
        <v>0.19</v>
      </c>
      <c r="I49" s="147">
        <f t="shared" si="2"/>
        <v>0</v>
      </c>
      <c r="J49" s="146">
        <v>0</v>
      </c>
      <c r="K49" s="147">
        <f t="shared" si="3"/>
        <v>0</v>
      </c>
      <c r="L49" s="145" t="s">
        <v>54</v>
      </c>
    </row>
    <row r="50" spans="1:12" ht="122.5" x14ac:dyDescent="0.35">
      <c r="A50" s="142" t="s">
        <v>58</v>
      </c>
      <c r="B50" s="142" t="s">
        <v>88</v>
      </c>
      <c r="C50" s="142" t="s">
        <v>32</v>
      </c>
      <c r="D50" s="143">
        <v>300</v>
      </c>
      <c r="E50" s="143">
        <v>16.100000000000001</v>
      </c>
      <c r="F50" s="143">
        <v>38836.300000000003</v>
      </c>
      <c r="G50" s="143">
        <v>2400</v>
      </c>
      <c r="H50" s="143">
        <v>0.19</v>
      </c>
      <c r="I50" s="144">
        <f t="shared" si="2"/>
        <v>7341.6</v>
      </c>
      <c r="J50" s="143">
        <v>0</v>
      </c>
      <c r="K50" s="144">
        <f t="shared" si="3"/>
        <v>0</v>
      </c>
      <c r="L50" s="142" t="s">
        <v>54</v>
      </c>
    </row>
    <row r="51" spans="1:12" ht="70" x14ac:dyDescent="0.35">
      <c r="A51" s="142" t="s">
        <v>58</v>
      </c>
      <c r="B51" s="142" t="s">
        <v>105</v>
      </c>
      <c r="C51" s="142" t="s">
        <v>32</v>
      </c>
      <c r="D51" s="143">
        <v>300</v>
      </c>
      <c r="E51" s="143">
        <v>24</v>
      </c>
      <c r="F51" s="143">
        <v>57635.5</v>
      </c>
      <c r="G51" s="143">
        <v>2400</v>
      </c>
      <c r="H51" s="143">
        <v>0.19</v>
      </c>
      <c r="I51" s="144">
        <f t="shared" si="2"/>
        <v>10944</v>
      </c>
      <c r="J51" s="143">
        <v>0</v>
      </c>
      <c r="K51" s="144">
        <f t="shared" si="3"/>
        <v>0</v>
      </c>
      <c r="L51" s="142" t="s">
        <v>57</v>
      </c>
    </row>
    <row r="52" spans="1:12" ht="70" x14ac:dyDescent="0.35">
      <c r="A52" s="142" t="s">
        <v>58</v>
      </c>
      <c r="B52" s="142" t="s">
        <v>103</v>
      </c>
      <c r="C52" s="142" t="s">
        <v>32</v>
      </c>
      <c r="D52" s="143">
        <v>300</v>
      </c>
      <c r="E52" s="143">
        <v>15</v>
      </c>
      <c r="F52" s="143">
        <v>36148.300000000003</v>
      </c>
      <c r="G52" s="143">
        <v>2400</v>
      </c>
      <c r="H52" s="143">
        <v>0.19</v>
      </c>
      <c r="I52" s="144">
        <f t="shared" si="2"/>
        <v>6840</v>
      </c>
      <c r="J52" s="143">
        <v>0</v>
      </c>
      <c r="K52" s="144">
        <f t="shared" si="3"/>
        <v>0</v>
      </c>
      <c r="L52" s="142" t="s">
        <v>54</v>
      </c>
    </row>
    <row r="53" spans="1:12" ht="87.5" x14ac:dyDescent="0.35">
      <c r="A53" s="142" t="s">
        <v>58</v>
      </c>
      <c r="B53" s="142" t="s">
        <v>108</v>
      </c>
      <c r="C53" s="142" t="s">
        <v>32</v>
      </c>
      <c r="D53" s="143">
        <v>200</v>
      </c>
      <c r="E53" s="143">
        <v>64.2</v>
      </c>
      <c r="F53" s="143">
        <v>153606.1</v>
      </c>
      <c r="G53" s="143">
        <v>2400</v>
      </c>
      <c r="H53" s="143">
        <v>0.19</v>
      </c>
      <c r="I53" s="144">
        <f t="shared" si="2"/>
        <v>29275.200000000001</v>
      </c>
      <c r="J53" s="143">
        <v>0</v>
      </c>
      <c r="K53" s="144">
        <f t="shared" si="3"/>
        <v>0</v>
      </c>
      <c r="L53" s="142" t="s">
        <v>57</v>
      </c>
    </row>
    <row r="54" spans="1:12" ht="105" x14ac:dyDescent="0.35">
      <c r="A54" s="142" t="s">
        <v>59</v>
      </c>
      <c r="B54" s="142" t="s">
        <v>67</v>
      </c>
      <c r="C54" s="142" t="s">
        <v>61</v>
      </c>
      <c r="D54" s="143">
        <v>32</v>
      </c>
      <c r="E54" s="143">
        <v>34.5</v>
      </c>
      <c r="F54" s="143">
        <v>42</v>
      </c>
      <c r="G54" s="143">
        <v>0</v>
      </c>
      <c r="H54" s="143">
        <v>0</v>
      </c>
      <c r="I54" s="144">
        <f t="shared" si="2"/>
        <v>0</v>
      </c>
      <c r="J54" s="143">
        <v>0</v>
      </c>
      <c r="K54" s="144">
        <f t="shared" si="3"/>
        <v>0</v>
      </c>
      <c r="L54" s="142" t="s">
        <v>57</v>
      </c>
    </row>
    <row r="55" spans="1:12" ht="52.5" x14ac:dyDescent="0.35">
      <c r="A55" s="142" t="s">
        <v>59</v>
      </c>
      <c r="B55" s="142" t="s">
        <v>60</v>
      </c>
      <c r="C55" s="142" t="s">
        <v>61</v>
      </c>
      <c r="D55" s="143">
        <v>32</v>
      </c>
      <c r="E55" s="143">
        <v>1.8</v>
      </c>
      <c r="F55" s="143">
        <v>2.2000000000000002</v>
      </c>
      <c r="G55" s="143">
        <v>0</v>
      </c>
      <c r="H55" s="143">
        <v>0</v>
      </c>
      <c r="I55" s="144">
        <f t="shared" si="2"/>
        <v>0</v>
      </c>
      <c r="J55" s="143">
        <v>0</v>
      </c>
      <c r="K55" s="144">
        <f t="shared" si="3"/>
        <v>0</v>
      </c>
      <c r="L55" s="142" t="s">
        <v>57</v>
      </c>
    </row>
    <row r="56" spans="1:12" ht="70" x14ac:dyDescent="0.35">
      <c r="A56" s="142" t="s">
        <v>59</v>
      </c>
      <c r="B56" s="142" t="s">
        <v>68</v>
      </c>
      <c r="C56" s="142" t="s">
        <v>61</v>
      </c>
      <c r="D56" s="143">
        <v>30</v>
      </c>
      <c r="E56" s="143">
        <v>42</v>
      </c>
      <c r="F56" s="143">
        <v>52.2</v>
      </c>
      <c r="G56" s="143">
        <v>0</v>
      </c>
      <c r="H56" s="143">
        <v>0</v>
      </c>
      <c r="I56" s="144">
        <f t="shared" si="2"/>
        <v>0</v>
      </c>
      <c r="J56" s="143">
        <v>0</v>
      </c>
      <c r="K56" s="144">
        <f t="shared" si="3"/>
        <v>0</v>
      </c>
      <c r="L56" s="142" t="s">
        <v>54</v>
      </c>
    </row>
    <row r="57" spans="1:12" ht="70" x14ac:dyDescent="0.35">
      <c r="A57" s="142" t="s">
        <v>59</v>
      </c>
      <c r="B57" s="142" t="s">
        <v>68</v>
      </c>
      <c r="C57" s="142" t="s">
        <v>61</v>
      </c>
      <c r="D57" s="143">
        <v>160</v>
      </c>
      <c r="E57" s="143">
        <v>188.2</v>
      </c>
      <c r="F57" s="143">
        <v>226.9</v>
      </c>
      <c r="G57" s="143">
        <v>0</v>
      </c>
      <c r="H57" s="143">
        <v>0</v>
      </c>
      <c r="I57" s="144">
        <f t="shared" si="2"/>
        <v>0</v>
      </c>
      <c r="J57" s="143">
        <v>0</v>
      </c>
      <c r="K57" s="144">
        <f t="shared" si="3"/>
        <v>0</v>
      </c>
      <c r="L57" s="142" t="s">
        <v>54</v>
      </c>
    </row>
    <row r="58" spans="1:12" ht="70" x14ac:dyDescent="0.35">
      <c r="A58" s="142" t="s">
        <v>59</v>
      </c>
      <c r="B58" s="142" t="s">
        <v>69</v>
      </c>
      <c r="C58" s="142" t="s">
        <v>61</v>
      </c>
      <c r="D58" s="143">
        <v>300</v>
      </c>
      <c r="E58" s="143">
        <v>59.6</v>
      </c>
      <c r="F58" s="143">
        <v>71.599999999999994</v>
      </c>
      <c r="G58" s="143">
        <v>0</v>
      </c>
      <c r="H58" s="143">
        <v>0</v>
      </c>
      <c r="I58" s="144">
        <f t="shared" si="2"/>
        <v>0</v>
      </c>
      <c r="J58" s="143">
        <v>0</v>
      </c>
      <c r="K58" s="144">
        <f t="shared" si="3"/>
        <v>0</v>
      </c>
      <c r="L58" s="142" t="s">
        <v>54</v>
      </c>
    </row>
    <row r="59" spans="1:12" ht="122.5" x14ac:dyDescent="0.35">
      <c r="A59" s="142" t="s">
        <v>59</v>
      </c>
      <c r="B59" s="142" t="s">
        <v>63</v>
      </c>
      <c r="C59" s="142" t="s">
        <v>61</v>
      </c>
      <c r="D59" s="143">
        <v>20</v>
      </c>
      <c r="E59" s="143">
        <v>5.0999999999999996</v>
      </c>
      <c r="F59" s="143">
        <v>5.4</v>
      </c>
      <c r="G59" s="143">
        <v>0</v>
      </c>
      <c r="H59" s="143">
        <v>0</v>
      </c>
      <c r="I59" s="144">
        <f t="shared" si="2"/>
        <v>0</v>
      </c>
      <c r="J59" s="143">
        <v>0</v>
      </c>
      <c r="K59" s="144">
        <f t="shared" si="3"/>
        <v>0</v>
      </c>
      <c r="L59" s="142" t="s">
        <v>54</v>
      </c>
    </row>
    <row r="60" spans="1:12" ht="122.5" x14ac:dyDescent="0.35">
      <c r="A60" s="142" t="s">
        <v>59</v>
      </c>
      <c r="B60" s="142" t="s">
        <v>62</v>
      </c>
      <c r="C60" s="142" t="s">
        <v>61</v>
      </c>
      <c r="D60" s="143">
        <v>20</v>
      </c>
      <c r="E60" s="143">
        <v>4.2</v>
      </c>
      <c r="F60" s="143">
        <v>5.3</v>
      </c>
      <c r="G60" s="143">
        <v>0</v>
      </c>
      <c r="H60" s="143">
        <v>0</v>
      </c>
      <c r="I60" s="144">
        <f t="shared" si="2"/>
        <v>0</v>
      </c>
      <c r="J60" s="143">
        <v>0</v>
      </c>
      <c r="K60" s="144">
        <f t="shared" si="3"/>
        <v>0</v>
      </c>
      <c r="L60" s="142" t="s">
        <v>57</v>
      </c>
    </row>
    <row r="61" spans="1:12" ht="105" x14ac:dyDescent="0.35">
      <c r="A61" s="142" t="s">
        <v>79</v>
      </c>
      <c r="B61" s="142" t="s">
        <v>67</v>
      </c>
      <c r="C61" s="142" t="s">
        <v>15</v>
      </c>
      <c r="D61" s="143">
        <v>15</v>
      </c>
      <c r="E61" s="143">
        <v>12.4</v>
      </c>
      <c r="F61" s="143">
        <v>10979.1</v>
      </c>
      <c r="G61" s="143">
        <v>875</v>
      </c>
      <c r="H61" s="143">
        <v>0.28000000000000003</v>
      </c>
      <c r="I61" s="144">
        <f t="shared" si="2"/>
        <v>3038.0000000000005</v>
      </c>
      <c r="J61" s="143">
        <v>0</v>
      </c>
      <c r="K61" s="144">
        <f t="shared" si="3"/>
        <v>0</v>
      </c>
      <c r="L61" s="142" t="s">
        <v>57</v>
      </c>
    </row>
    <row r="62" spans="1:12" ht="122.5" x14ac:dyDescent="0.35">
      <c r="A62" s="142" t="s">
        <v>79</v>
      </c>
      <c r="B62" s="142" t="s">
        <v>65</v>
      </c>
      <c r="C62" s="142" t="s">
        <v>15</v>
      </c>
      <c r="D62" s="143">
        <v>13</v>
      </c>
      <c r="E62" s="143">
        <v>5.5</v>
      </c>
      <c r="F62" s="143">
        <v>2798</v>
      </c>
      <c r="G62" s="143">
        <v>875</v>
      </c>
      <c r="H62" s="143">
        <v>0.28000000000000003</v>
      </c>
      <c r="I62" s="144">
        <f t="shared" si="2"/>
        <v>1347.5000000000002</v>
      </c>
      <c r="J62" s="143">
        <v>0</v>
      </c>
      <c r="K62" s="144">
        <f t="shared" si="3"/>
        <v>0</v>
      </c>
      <c r="L62" s="142" t="s">
        <v>57</v>
      </c>
    </row>
    <row r="63" spans="1:12" ht="70" x14ac:dyDescent="0.35">
      <c r="A63" s="142" t="s">
        <v>79</v>
      </c>
      <c r="B63" s="142" t="s">
        <v>69</v>
      </c>
      <c r="C63" s="142" t="s">
        <v>15</v>
      </c>
      <c r="D63" s="143">
        <v>15</v>
      </c>
      <c r="E63" s="143">
        <v>10</v>
      </c>
      <c r="F63" s="143">
        <v>8820.7999999999993</v>
      </c>
      <c r="G63" s="143">
        <v>875</v>
      </c>
      <c r="H63" s="143">
        <v>0.28000000000000003</v>
      </c>
      <c r="I63" s="144">
        <f t="shared" si="2"/>
        <v>2450.0000000000005</v>
      </c>
      <c r="J63" s="143">
        <v>0</v>
      </c>
      <c r="K63" s="144">
        <f t="shared" si="3"/>
        <v>0</v>
      </c>
      <c r="L63" s="142" t="s">
        <v>54</v>
      </c>
    </row>
    <row r="64" spans="1:12" ht="87.5" x14ac:dyDescent="0.35">
      <c r="A64" s="142" t="s">
        <v>79</v>
      </c>
      <c r="B64" s="142" t="s">
        <v>102</v>
      </c>
      <c r="C64" s="142" t="s">
        <v>15</v>
      </c>
      <c r="D64" s="143">
        <v>15</v>
      </c>
      <c r="E64" s="143">
        <v>26</v>
      </c>
      <c r="F64" s="143">
        <v>20574.599999999999</v>
      </c>
      <c r="G64" s="143">
        <v>875</v>
      </c>
      <c r="H64" s="143">
        <v>0.28000000000000003</v>
      </c>
      <c r="I64" s="144">
        <f t="shared" si="2"/>
        <v>6370.0000000000009</v>
      </c>
      <c r="J64" s="143">
        <v>0</v>
      </c>
      <c r="K64" s="144">
        <f t="shared" si="3"/>
        <v>0</v>
      </c>
      <c r="L64" s="142" t="s">
        <v>57</v>
      </c>
    </row>
    <row r="65" spans="1:12" ht="122.5" x14ac:dyDescent="0.35">
      <c r="A65" s="142" t="s">
        <v>79</v>
      </c>
      <c r="B65" s="142" t="s">
        <v>63</v>
      </c>
      <c r="C65" s="142" t="s">
        <v>15</v>
      </c>
      <c r="D65" s="143">
        <v>15</v>
      </c>
      <c r="E65" s="143">
        <v>8.3000000000000007</v>
      </c>
      <c r="F65" s="143">
        <v>8365.4</v>
      </c>
      <c r="G65" s="143">
        <v>875</v>
      </c>
      <c r="H65" s="143">
        <v>0.28000000000000003</v>
      </c>
      <c r="I65" s="144">
        <f t="shared" si="2"/>
        <v>2033.5000000000005</v>
      </c>
      <c r="J65" s="143">
        <v>0</v>
      </c>
      <c r="K65" s="144">
        <f t="shared" si="3"/>
        <v>0</v>
      </c>
      <c r="L65" s="142" t="s">
        <v>57</v>
      </c>
    </row>
    <row r="66" spans="1:12" ht="157.5" x14ac:dyDescent="0.35">
      <c r="A66" s="142" t="s">
        <v>79</v>
      </c>
      <c r="B66" s="142" t="s">
        <v>93</v>
      </c>
      <c r="C66" s="142" t="s">
        <v>15</v>
      </c>
      <c r="D66" s="143">
        <v>15</v>
      </c>
      <c r="E66" s="143">
        <v>7</v>
      </c>
      <c r="F66" s="143">
        <v>8146.8</v>
      </c>
      <c r="G66" s="143">
        <v>875</v>
      </c>
      <c r="H66" s="143">
        <v>0.28000000000000003</v>
      </c>
      <c r="I66" s="144">
        <f t="shared" si="2"/>
        <v>1715.0000000000002</v>
      </c>
      <c r="J66" s="143">
        <v>0</v>
      </c>
      <c r="K66" s="144">
        <f t="shared" si="3"/>
        <v>0</v>
      </c>
      <c r="L66" s="142" t="s">
        <v>57</v>
      </c>
    </row>
    <row r="67" spans="1:12" ht="175" x14ac:dyDescent="0.35">
      <c r="A67" s="142" t="s">
        <v>79</v>
      </c>
      <c r="B67" s="142" t="s">
        <v>85</v>
      </c>
      <c r="C67" s="142" t="s">
        <v>15</v>
      </c>
      <c r="D67" s="143">
        <v>15</v>
      </c>
      <c r="E67" s="143">
        <v>3.5</v>
      </c>
      <c r="F67" s="143">
        <v>3191.2</v>
      </c>
      <c r="G67" s="143">
        <v>875</v>
      </c>
      <c r="H67" s="143">
        <v>0.28000000000000003</v>
      </c>
      <c r="I67" s="144">
        <f t="shared" si="2"/>
        <v>857.50000000000011</v>
      </c>
      <c r="J67" s="143">
        <v>0</v>
      </c>
      <c r="K67" s="144">
        <f t="shared" si="3"/>
        <v>0</v>
      </c>
      <c r="L67" s="142" t="s">
        <v>54</v>
      </c>
    </row>
    <row r="68" spans="1:12" ht="175" x14ac:dyDescent="0.35">
      <c r="A68" s="142" t="s">
        <v>79</v>
      </c>
      <c r="B68" s="142" t="s">
        <v>85</v>
      </c>
      <c r="C68" s="142" t="s">
        <v>15</v>
      </c>
      <c r="D68" s="143">
        <v>15</v>
      </c>
      <c r="E68" s="143">
        <v>3.5</v>
      </c>
      <c r="F68" s="143">
        <v>3583.7</v>
      </c>
      <c r="G68" s="143">
        <v>875</v>
      </c>
      <c r="H68" s="143">
        <v>0.28000000000000003</v>
      </c>
      <c r="I68" s="144">
        <f t="shared" si="2"/>
        <v>857.50000000000011</v>
      </c>
      <c r="J68" s="143">
        <v>0</v>
      </c>
      <c r="K68" s="144">
        <f t="shared" si="3"/>
        <v>0</v>
      </c>
      <c r="L68" s="142" t="s">
        <v>57</v>
      </c>
    </row>
    <row r="69" spans="1:12" ht="52.5" x14ac:dyDescent="0.35">
      <c r="A69" s="142" t="s">
        <v>79</v>
      </c>
      <c r="B69" s="142" t="s">
        <v>80</v>
      </c>
      <c r="C69" s="142" t="s">
        <v>15</v>
      </c>
      <c r="D69" s="143">
        <v>15</v>
      </c>
      <c r="E69" s="143">
        <v>1.8</v>
      </c>
      <c r="F69" s="143">
        <v>1403.6</v>
      </c>
      <c r="G69" s="143">
        <v>875</v>
      </c>
      <c r="H69" s="143">
        <v>0.28000000000000003</v>
      </c>
      <c r="I69" s="144">
        <f t="shared" si="2"/>
        <v>441.00000000000006</v>
      </c>
      <c r="J69" s="143">
        <v>0</v>
      </c>
      <c r="K69" s="144">
        <f t="shared" si="3"/>
        <v>0</v>
      </c>
      <c r="L69" s="142" t="s">
        <v>54</v>
      </c>
    </row>
    <row r="70" spans="1:12" ht="52.5" x14ac:dyDescent="0.35">
      <c r="A70" s="142" t="s">
        <v>79</v>
      </c>
      <c r="B70" s="142" t="s">
        <v>80</v>
      </c>
      <c r="C70" s="142" t="s">
        <v>15</v>
      </c>
      <c r="D70" s="143">
        <v>15</v>
      </c>
      <c r="E70" s="143">
        <v>1.8</v>
      </c>
      <c r="F70" s="143">
        <v>1513.7</v>
      </c>
      <c r="G70" s="143">
        <v>875</v>
      </c>
      <c r="H70" s="143">
        <v>0.28000000000000003</v>
      </c>
      <c r="I70" s="144">
        <f t="shared" ref="I70:I85" si="4">(G70*E70)*H70</f>
        <v>441.00000000000006</v>
      </c>
      <c r="J70" s="143">
        <v>0</v>
      </c>
      <c r="K70" s="144">
        <f t="shared" ref="K70:K85" si="5">(G70*E70)*J70</f>
        <v>0</v>
      </c>
      <c r="L70" s="142" t="s">
        <v>57</v>
      </c>
    </row>
    <row r="71" spans="1:12" ht="122.5" x14ac:dyDescent="0.35">
      <c r="A71" s="142" t="s">
        <v>79</v>
      </c>
      <c r="B71" s="142" t="s">
        <v>62</v>
      </c>
      <c r="C71" s="142" t="s">
        <v>15</v>
      </c>
      <c r="D71" s="143">
        <v>15</v>
      </c>
      <c r="E71" s="143">
        <v>3</v>
      </c>
      <c r="F71" s="143">
        <v>2582.4</v>
      </c>
      <c r="G71" s="143">
        <v>875</v>
      </c>
      <c r="H71" s="143">
        <v>0.28000000000000003</v>
      </c>
      <c r="I71" s="144">
        <f t="shared" si="4"/>
        <v>735.00000000000011</v>
      </c>
      <c r="J71" s="143">
        <v>0</v>
      </c>
      <c r="K71" s="144">
        <f t="shared" si="5"/>
        <v>0</v>
      </c>
      <c r="L71" s="142" t="s">
        <v>54</v>
      </c>
    </row>
    <row r="72" spans="1:12" ht="122.5" x14ac:dyDescent="0.35">
      <c r="A72" s="142" t="s">
        <v>79</v>
      </c>
      <c r="B72" s="142" t="s">
        <v>62</v>
      </c>
      <c r="C72" s="142" t="s">
        <v>15</v>
      </c>
      <c r="D72" s="143">
        <v>15</v>
      </c>
      <c r="E72" s="143">
        <v>6</v>
      </c>
      <c r="F72" s="143">
        <v>5815.3</v>
      </c>
      <c r="G72" s="143">
        <v>875</v>
      </c>
      <c r="H72" s="143">
        <v>0.28000000000000003</v>
      </c>
      <c r="I72" s="144">
        <f t="shared" si="4"/>
        <v>1470.0000000000002</v>
      </c>
      <c r="J72" s="143">
        <v>0</v>
      </c>
      <c r="K72" s="144">
        <f t="shared" si="5"/>
        <v>0</v>
      </c>
      <c r="L72" s="142" t="s">
        <v>57</v>
      </c>
    </row>
    <row r="73" spans="1:12" ht="70" x14ac:dyDescent="0.35">
      <c r="A73" s="142" t="s">
        <v>79</v>
      </c>
      <c r="B73" s="142" t="s">
        <v>97</v>
      </c>
      <c r="C73" s="142" t="s">
        <v>15</v>
      </c>
      <c r="D73" s="143">
        <v>13</v>
      </c>
      <c r="E73" s="143">
        <v>16.5</v>
      </c>
      <c r="F73" s="143">
        <v>11922.9</v>
      </c>
      <c r="G73" s="143">
        <v>875</v>
      </c>
      <c r="H73" s="143">
        <v>0.28000000000000003</v>
      </c>
      <c r="I73" s="144">
        <f t="shared" si="4"/>
        <v>4042.5000000000005</v>
      </c>
      <c r="J73" s="143">
        <v>0</v>
      </c>
      <c r="K73" s="144">
        <f t="shared" si="5"/>
        <v>0</v>
      </c>
      <c r="L73" s="142" t="s">
        <v>54</v>
      </c>
    </row>
    <row r="74" spans="1:12" ht="70" x14ac:dyDescent="0.35">
      <c r="A74" s="142" t="s">
        <v>79</v>
      </c>
      <c r="B74" s="142" t="s">
        <v>97</v>
      </c>
      <c r="C74" s="142" t="s">
        <v>15</v>
      </c>
      <c r="D74" s="143">
        <v>13</v>
      </c>
      <c r="E74" s="143">
        <v>16.5</v>
      </c>
      <c r="F74" s="143">
        <v>12982.8</v>
      </c>
      <c r="G74" s="143">
        <v>875</v>
      </c>
      <c r="H74" s="143">
        <v>0.28000000000000003</v>
      </c>
      <c r="I74" s="144">
        <f t="shared" si="4"/>
        <v>4042.5000000000005</v>
      </c>
      <c r="J74" s="143">
        <v>0</v>
      </c>
      <c r="K74" s="144">
        <f t="shared" si="5"/>
        <v>0</v>
      </c>
      <c r="L74" s="142" t="s">
        <v>57</v>
      </c>
    </row>
    <row r="75" spans="1:12" ht="70" x14ac:dyDescent="0.35">
      <c r="A75" s="145" t="s">
        <v>86</v>
      </c>
      <c r="B75" s="145" t="s">
        <v>68</v>
      </c>
      <c r="C75" s="145" t="s">
        <v>87</v>
      </c>
      <c r="D75" s="146">
        <v>18</v>
      </c>
      <c r="E75" s="146">
        <v>25</v>
      </c>
      <c r="F75" s="146">
        <v>20537.900000000001</v>
      </c>
      <c r="G75" s="146">
        <v>610</v>
      </c>
      <c r="H75" s="146">
        <v>0.42</v>
      </c>
      <c r="I75" s="147">
        <f t="shared" si="4"/>
        <v>6405</v>
      </c>
      <c r="J75" s="146">
        <v>1.5</v>
      </c>
      <c r="K75" s="147">
        <f t="shared" si="5"/>
        <v>22875</v>
      </c>
      <c r="L75" s="145" t="s">
        <v>57</v>
      </c>
    </row>
    <row r="76" spans="1:12" ht="122.5" x14ac:dyDescent="0.35">
      <c r="A76" s="145" t="s">
        <v>86</v>
      </c>
      <c r="B76" s="145" t="s">
        <v>65</v>
      </c>
      <c r="C76" s="145" t="s">
        <v>87</v>
      </c>
      <c r="D76" s="146">
        <v>18</v>
      </c>
      <c r="E76" s="146">
        <v>5.5</v>
      </c>
      <c r="F76" s="146">
        <v>3838</v>
      </c>
      <c r="G76" s="146">
        <v>610</v>
      </c>
      <c r="H76" s="146">
        <v>0.42</v>
      </c>
      <c r="I76" s="147">
        <f t="shared" si="4"/>
        <v>1409.1</v>
      </c>
      <c r="J76" s="146">
        <v>1.5</v>
      </c>
      <c r="K76" s="147">
        <f t="shared" si="5"/>
        <v>5032.5</v>
      </c>
      <c r="L76" s="145" t="s">
        <v>57</v>
      </c>
    </row>
    <row r="77" spans="1:12" ht="35" x14ac:dyDescent="0.35">
      <c r="A77" s="142" t="s">
        <v>81</v>
      </c>
      <c r="B77" s="142" t="s">
        <v>82</v>
      </c>
      <c r="C77" s="142" t="s">
        <v>18</v>
      </c>
      <c r="D77" s="143">
        <v>5</v>
      </c>
      <c r="E77" s="143">
        <v>0</v>
      </c>
      <c r="F77" s="143">
        <v>1523.5</v>
      </c>
      <c r="G77" s="143">
        <v>1620</v>
      </c>
      <c r="H77" s="143">
        <v>0.16</v>
      </c>
      <c r="I77" s="144">
        <f t="shared" si="4"/>
        <v>0</v>
      </c>
      <c r="J77" s="143">
        <v>0</v>
      </c>
      <c r="K77" s="144">
        <f t="shared" si="5"/>
        <v>0</v>
      </c>
      <c r="L77" s="142" t="s">
        <v>83</v>
      </c>
    </row>
    <row r="78" spans="1:12" ht="70" x14ac:dyDescent="0.35">
      <c r="A78" s="142" t="s">
        <v>101</v>
      </c>
      <c r="B78" s="142" t="s">
        <v>68</v>
      </c>
      <c r="C78" s="142" t="s">
        <v>4</v>
      </c>
      <c r="D78" s="143">
        <v>40</v>
      </c>
      <c r="E78" s="143">
        <v>57.8</v>
      </c>
      <c r="F78" s="143">
        <v>102691.1</v>
      </c>
      <c r="G78" s="143">
        <v>2353</v>
      </c>
      <c r="H78" s="143">
        <v>0.12</v>
      </c>
      <c r="I78" s="144">
        <f t="shared" si="4"/>
        <v>16320.407999999999</v>
      </c>
      <c r="J78" s="143">
        <v>0</v>
      </c>
      <c r="K78" s="144">
        <f t="shared" si="5"/>
        <v>0</v>
      </c>
      <c r="L78" s="142" t="s">
        <v>57</v>
      </c>
    </row>
    <row r="79" spans="1:12" ht="122.5" x14ac:dyDescent="0.35">
      <c r="A79" s="142" t="s">
        <v>101</v>
      </c>
      <c r="B79" s="142" t="s">
        <v>65</v>
      </c>
      <c r="C79" s="142" t="s">
        <v>4</v>
      </c>
      <c r="D79" s="143">
        <v>40</v>
      </c>
      <c r="E79" s="143">
        <v>11</v>
      </c>
      <c r="F79" s="143">
        <v>19186.7</v>
      </c>
      <c r="G79" s="143">
        <v>2353</v>
      </c>
      <c r="H79" s="143">
        <v>0.12</v>
      </c>
      <c r="I79" s="144">
        <f t="shared" si="4"/>
        <v>3105.96</v>
      </c>
      <c r="J79" s="143">
        <v>0</v>
      </c>
      <c r="K79" s="144">
        <f t="shared" si="5"/>
        <v>0</v>
      </c>
      <c r="L79" s="142" t="s">
        <v>57</v>
      </c>
    </row>
    <row r="80" spans="1:12" ht="70" x14ac:dyDescent="0.35">
      <c r="A80" s="142" t="s">
        <v>64</v>
      </c>
      <c r="B80" s="142" t="s">
        <v>68</v>
      </c>
      <c r="C80" s="142" t="s">
        <v>66</v>
      </c>
      <c r="D80" s="143">
        <v>25</v>
      </c>
      <c r="E80" s="143">
        <v>35.5</v>
      </c>
      <c r="F80" s="143">
        <v>42</v>
      </c>
      <c r="G80" s="143">
        <v>0</v>
      </c>
      <c r="H80" s="143">
        <v>0</v>
      </c>
      <c r="I80" s="144">
        <f t="shared" si="4"/>
        <v>0</v>
      </c>
      <c r="J80" s="143">
        <v>0</v>
      </c>
      <c r="K80" s="144">
        <f t="shared" si="5"/>
        <v>0</v>
      </c>
      <c r="L80" s="142" t="s">
        <v>54</v>
      </c>
    </row>
    <row r="81" spans="1:12" ht="122.5" x14ac:dyDescent="0.35">
      <c r="A81" s="142" t="s">
        <v>64</v>
      </c>
      <c r="B81" s="142" t="s">
        <v>65</v>
      </c>
      <c r="C81" s="142" t="s">
        <v>66</v>
      </c>
      <c r="D81" s="143">
        <v>25</v>
      </c>
      <c r="E81" s="143">
        <v>5.5</v>
      </c>
      <c r="F81" s="143">
        <v>5.5</v>
      </c>
      <c r="G81" s="143">
        <v>0</v>
      </c>
      <c r="H81" s="143">
        <v>0</v>
      </c>
      <c r="I81" s="144">
        <f t="shared" si="4"/>
        <v>0</v>
      </c>
      <c r="J81" s="143">
        <v>0</v>
      </c>
      <c r="K81" s="144">
        <f t="shared" si="5"/>
        <v>0</v>
      </c>
      <c r="L81" s="142" t="s">
        <v>57</v>
      </c>
    </row>
    <row r="82" spans="1:12" ht="122.5" x14ac:dyDescent="0.35">
      <c r="A82" s="142" t="s">
        <v>64</v>
      </c>
      <c r="B82" s="142" t="s">
        <v>65</v>
      </c>
      <c r="C82" s="142" t="s">
        <v>66</v>
      </c>
      <c r="D82" s="143">
        <v>30</v>
      </c>
      <c r="E82" s="143">
        <v>5.5</v>
      </c>
      <c r="F82" s="143">
        <v>11</v>
      </c>
      <c r="G82" s="143">
        <v>0</v>
      </c>
      <c r="H82" s="143">
        <v>0</v>
      </c>
      <c r="I82" s="144">
        <f t="shared" si="4"/>
        <v>0</v>
      </c>
      <c r="J82" s="143">
        <v>0</v>
      </c>
      <c r="K82" s="144">
        <f t="shared" si="5"/>
        <v>0</v>
      </c>
      <c r="L82" s="142" t="s">
        <v>57</v>
      </c>
    </row>
    <row r="83" spans="1:12" ht="122.5" x14ac:dyDescent="0.35">
      <c r="A83" s="142" t="s">
        <v>64</v>
      </c>
      <c r="B83" s="142" t="s">
        <v>65</v>
      </c>
      <c r="C83" s="142" t="s">
        <v>66</v>
      </c>
      <c r="D83" s="143">
        <v>160</v>
      </c>
      <c r="E83" s="143">
        <v>33.4</v>
      </c>
      <c r="F83" s="143">
        <v>44</v>
      </c>
      <c r="G83" s="143">
        <v>0</v>
      </c>
      <c r="H83" s="143">
        <v>0</v>
      </c>
      <c r="I83" s="144">
        <f t="shared" si="4"/>
        <v>0</v>
      </c>
      <c r="J83" s="143">
        <v>0</v>
      </c>
      <c r="K83" s="144">
        <f t="shared" si="5"/>
        <v>0</v>
      </c>
      <c r="L83" s="142" t="s">
        <v>57</v>
      </c>
    </row>
    <row r="84" spans="1:12" ht="105" x14ac:dyDescent="0.35">
      <c r="A84" s="142" t="s">
        <v>78</v>
      </c>
      <c r="B84" s="142" t="s">
        <v>67</v>
      </c>
      <c r="C84" s="142" t="s">
        <v>26</v>
      </c>
      <c r="D84" s="143">
        <v>28</v>
      </c>
      <c r="E84" s="143">
        <v>31</v>
      </c>
      <c r="F84" s="143">
        <v>21486.5</v>
      </c>
      <c r="G84" s="143">
        <v>474</v>
      </c>
      <c r="H84" s="143">
        <v>0.09</v>
      </c>
      <c r="I84" s="144">
        <f t="shared" si="4"/>
        <v>1322.46</v>
      </c>
      <c r="J84" s="143">
        <v>1.6</v>
      </c>
      <c r="K84" s="144">
        <f t="shared" si="5"/>
        <v>23510.400000000001</v>
      </c>
      <c r="L84" s="142" t="s">
        <v>57</v>
      </c>
    </row>
    <row r="85" spans="1:12" ht="52.5" x14ac:dyDescent="0.35">
      <c r="A85" s="142" t="s">
        <v>78</v>
      </c>
      <c r="B85" s="142" t="s">
        <v>60</v>
      </c>
      <c r="C85" s="142" t="s">
        <v>26</v>
      </c>
      <c r="D85" s="143">
        <v>28</v>
      </c>
      <c r="E85" s="143">
        <v>1.6</v>
      </c>
      <c r="F85" s="143">
        <v>1160.5999999999999</v>
      </c>
      <c r="G85" s="143">
        <v>474</v>
      </c>
      <c r="H85" s="143">
        <v>0.09</v>
      </c>
      <c r="I85" s="144">
        <f t="shared" si="4"/>
        <v>68.256</v>
      </c>
      <c r="J85" s="143">
        <v>1.6</v>
      </c>
      <c r="K85" s="144">
        <f t="shared" si="5"/>
        <v>1213.4400000000003</v>
      </c>
      <c r="L85" s="142" t="s">
        <v>57</v>
      </c>
    </row>
    <row r="86" spans="1:12" ht="17.5" x14ac:dyDescent="0.35">
      <c r="A86" s="142" t="s">
        <v>109</v>
      </c>
      <c r="B86" s="142" t="s">
        <v>109</v>
      </c>
      <c r="C86" s="142" t="s">
        <v>109</v>
      </c>
      <c r="D86" s="143" t="s">
        <v>109</v>
      </c>
      <c r="E86" s="143"/>
      <c r="F86" s="143"/>
      <c r="G86" s="143"/>
      <c r="H86" s="143"/>
      <c r="I86" s="144">
        <f>SUM(I6:I85)</f>
        <v>362072.06300000002</v>
      </c>
      <c r="J86" s="148" t="s">
        <v>44</v>
      </c>
      <c r="K86" s="144">
        <f>SUM(K6:K85)</f>
        <v>504319.26000000007</v>
      </c>
      <c r="L86" s="142" t="s">
        <v>44</v>
      </c>
    </row>
    <row r="87" spans="1:12" ht="17.5" x14ac:dyDescent="0.35">
      <c r="A87" s="149"/>
      <c r="B87" s="149"/>
      <c r="C87" s="149"/>
      <c r="D87" s="148"/>
      <c r="E87" s="148"/>
      <c r="F87" s="148"/>
      <c r="G87" s="148"/>
      <c r="H87" s="148"/>
      <c r="I87" s="144">
        <f>I86/1000</f>
        <v>362.07206300000001</v>
      </c>
      <c r="J87" s="148" t="s">
        <v>110</v>
      </c>
      <c r="K87" s="144">
        <f>K86/1000</f>
        <v>504.31926000000004</v>
      </c>
      <c r="L87" s="142" t="s">
        <v>110</v>
      </c>
    </row>
    <row r="88" spans="1:12" ht="15.5" x14ac:dyDescent="0.3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</row>
    <row r="89" spans="1:12" ht="15.5" x14ac:dyDescent="0.35">
      <c r="A89" s="4"/>
      <c r="B89" s="4"/>
      <c r="C89" s="4"/>
      <c r="D89" s="4"/>
      <c r="E89" s="4"/>
      <c r="F89" s="140">
        <f>SUM(Table1[Massa])</f>
        <v>1886423.5999999996</v>
      </c>
      <c r="G89" s="4" t="s">
        <v>222</v>
      </c>
      <c r="H89" s="4"/>
      <c r="I89" s="4"/>
      <c r="J89" s="140">
        <f>I87-K87</f>
        <v>-142.24719700000003</v>
      </c>
      <c r="K89" s="4" t="s">
        <v>110</v>
      </c>
      <c r="L89" s="4"/>
    </row>
    <row r="90" spans="1:12" ht="15.5" x14ac:dyDescent="0.35">
      <c r="A90" s="4"/>
      <c r="B90" s="4"/>
      <c r="C90" s="4"/>
      <c r="D90" s="4"/>
      <c r="E90" s="4"/>
      <c r="F90" s="140">
        <f>F89/1000</f>
        <v>1886.4235999999996</v>
      </c>
      <c r="G90" s="4" t="s">
        <v>352</v>
      </c>
      <c r="H90" s="4"/>
      <c r="I90" s="4"/>
      <c r="J90" s="4"/>
      <c r="K90" s="4"/>
      <c r="L90" s="4"/>
    </row>
    <row r="91" spans="1:12" ht="15.5" x14ac:dyDescent="0.3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</row>
    <row r="92" spans="1:12" ht="15.5" x14ac:dyDescent="0.35">
      <c r="A92" s="4"/>
      <c r="B92" s="4"/>
      <c r="C92" s="4"/>
      <c r="D92" s="4"/>
      <c r="E92" s="4"/>
      <c r="F92" s="4">
        <f>F89*10</f>
        <v>18864235.999999996</v>
      </c>
      <c r="G92" s="4" t="s">
        <v>353</v>
      </c>
      <c r="H92" s="4"/>
      <c r="I92" s="4"/>
      <c r="J92" s="4"/>
      <c r="K92" s="4"/>
      <c r="L92" s="4"/>
    </row>
    <row r="93" spans="1:12" ht="15.5" x14ac:dyDescent="0.35">
      <c r="A93" s="4"/>
      <c r="B93" s="4"/>
      <c r="C93" s="4"/>
      <c r="D93" s="4"/>
      <c r="E93" s="4"/>
      <c r="F93" s="140">
        <f>F92/1000</f>
        <v>18864.235999999997</v>
      </c>
      <c r="G93" s="4" t="s">
        <v>354</v>
      </c>
      <c r="H93" s="4"/>
      <c r="I93" s="4"/>
      <c r="J93" s="4"/>
      <c r="K93" s="4"/>
      <c r="L93" s="4"/>
    </row>
  </sheetData>
  <protectedRanges>
    <protectedRange sqref="A4:L87" name="Alue1"/>
  </protectedRanges>
  <mergeCells count="1">
    <mergeCell ref="A3:K3"/>
  </mergeCells>
  <conditionalFormatting sqref="J89">
    <cfRule type="cellIs" dxfId="267" priority="1" operator="lessThan">
      <formula>0</formula>
    </cfRule>
  </conditionalFormatting>
  <pageMargins left="0.7" right="0.7" top="0.75" bottom="0.75" header="0.3" footer="0.3"/>
  <pageSetup paperSize="9" orientation="portrait" verticalDpi="0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50FA3A-BB8B-43FF-84A3-6487B54257FA}">
  <dimension ref="A1:L88"/>
  <sheetViews>
    <sheetView topLeftCell="A97" zoomScale="80" zoomScaleNormal="80" workbookViewId="0">
      <selection activeCell="V8" sqref="V8"/>
    </sheetView>
  </sheetViews>
  <sheetFormatPr defaultRowHeight="14.5" x14ac:dyDescent="0.35"/>
  <sheetData>
    <row r="1" spans="1:12" ht="15.5" x14ac:dyDescent="0.35">
      <c r="A1" s="150" t="s">
        <v>343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 ht="15.5" x14ac:dyDescent="0.3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 ht="17.5" x14ac:dyDescent="0.35">
      <c r="A3" s="266" t="s">
        <v>344</v>
      </c>
      <c r="B3" s="266"/>
      <c r="C3" s="266"/>
      <c r="D3" s="266"/>
      <c r="E3" s="266"/>
      <c r="F3" s="266"/>
      <c r="G3" s="266"/>
      <c r="H3" s="266"/>
      <c r="I3" s="266"/>
      <c r="J3" s="266"/>
      <c r="K3" s="4"/>
      <c r="L3" s="4"/>
    </row>
    <row r="4" spans="1:12" ht="87.5" x14ac:dyDescent="0.35">
      <c r="A4" s="136" t="s">
        <v>36</v>
      </c>
      <c r="B4" s="136" t="s">
        <v>37</v>
      </c>
      <c r="C4" s="136" t="s">
        <v>38</v>
      </c>
      <c r="D4" s="136" t="s">
        <v>39</v>
      </c>
      <c r="E4" s="136" t="s">
        <v>40</v>
      </c>
      <c r="F4" s="136" t="s">
        <v>42</v>
      </c>
      <c r="G4" s="136" t="s">
        <v>43</v>
      </c>
      <c r="H4" s="151" t="s">
        <v>44</v>
      </c>
      <c r="I4" s="136" t="s">
        <v>45</v>
      </c>
      <c r="J4" s="151" t="s">
        <v>261</v>
      </c>
      <c r="K4" s="136" t="s">
        <v>152</v>
      </c>
      <c r="L4" s="136" t="s">
        <v>47</v>
      </c>
    </row>
    <row r="5" spans="1:12" ht="87.5" x14ac:dyDescent="0.35">
      <c r="A5" s="152" t="s">
        <v>36</v>
      </c>
      <c r="B5" s="136" t="s">
        <v>37</v>
      </c>
      <c r="C5" s="136" t="s">
        <v>38</v>
      </c>
      <c r="D5" s="136" t="s">
        <v>111</v>
      </c>
      <c r="E5" s="136" t="s">
        <v>262</v>
      </c>
      <c r="F5" s="136" t="s">
        <v>114</v>
      </c>
      <c r="G5" s="136" t="s">
        <v>115</v>
      </c>
      <c r="H5" s="153" t="s">
        <v>44</v>
      </c>
      <c r="I5" s="136" t="s">
        <v>116</v>
      </c>
      <c r="J5" s="153" t="s">
        <v>117</v>
      </c>
      <c r="K5" s="136" t="s">
        <v>152</v>
      </c>
      <c r="L5" s="154" t="s">
        <v>263</v>
      </c>
    </row>
    <row r="6" spans="1:12" ht="87.5" x14ac:dyDescent="0.35">
      <c r="A6" s="155" t="s">
        <v>75</v>
      </c>
      <c r="B6" s="156" t="s">
        <v>92</v>
      </c>
      <c r="C6" s="156" t="s">
        <v>76</v>
      </c>
      <c r="D6" s="156">
        <v>450</v>
      </c>
      <c r="E6" s="156">
        <v>194.7</v>
      </c>
      <c r="F6" s="156">
        <v>33</v>
      </c>
      <c r="G6" s="156">
        <v>1.5</v>
      </c>
      <c r="H6" s="4">
        <f t="shared" ref="H6:H69" si="0">(F6*E6)*G6</f>
        <v>9637.65</v>
      </c>
      <c r="I6" s="156">
        <v>0</v>
      </c>
      <c r="J6" s="4">
        <f t="shared" ref="J6:J69" si="1">(F6*E6)*I6</f>
        <v>0</v>
      </c>
      <c r="K6" s="156" t="s">
        <v>53</v>
      </c>
      <c r="L6" s="157" t="s">
        <v>57</v>
      </c>
    </row>
    <row r="7" spans="1:12" ht="87.5" x14ac:dyDescent="0.35">
      <c r="A7" s="155" t="s">
        <v>89</v>
      </c>
      <c r="B7" s="156" t="s">
        <v>92</v>
      </c>
      <c r="C7" s="156" t="s">
        <v>20</v>
      </c>
      <c r="D7" s="156">
        <v>80</v>
      </c>
      <c r="E7" s="156">
        <v>34.6</v>
      </c>
      <c r="F7" s="156">
        <v>470</v>
      </c>
      <c r="G7" s="156">
        <v>0.2</v>
      </c>
      <c r="H7" s="4">
        <f t="shared" si="0"/>
        <v>3252.4</v>
      </c>
      <c r="I7" s="156">
        <v>1.6</v>
      </c>
      <c r="J7" s="4">
        <f t="shared" si="1"/>
        <v>26019.200000000001</v>
      </c>
      <c r="K7" s="156" t="s">
        <v>53</v>
      </c>
      <c r="L7" s="157" t="s">
        <v>54</v>
      </c>
    </row>
    <row r="8" spans="1:12" ht="87.5" x14ac:dyDescent="0.35">
      <c r="A8" s="155" t="s">
        <v>98</v>
      </c>
      <c r="B8" s="156" t="s">
        <v>99</v>
      </c>
      <c r="C8" s="156" t="s">
        <v>100</v>
      </c>
      <c r="D8" s="156">
        <v>125</v>
      </c>
      <c r="E8" s="156">
        <v>12</v>
      </c>
      <c r="F8" s="156">
        <v>644</v>
      </c>
      <c r="G8" s="156">
        <v>0.26</v>
      </c>
      <c r="H8" s="4">
        <f t="shared" si="0"/>
        <v>2009.28</v>
      </c>
      <c r="I8" s="156">
        <v>0</v>
      </c>
      <c r="J8" s="4">
        <f t="shared" si="1"/>
        <v>0</v>
      </c>
      <c r="K8" s="156" t="s">
        <v>53</v>
      </c>
      <c r="L8" s="157" t="s">
        <v>57</v>
      </c>
    </row>
    <row r="9" spans="1:12" ht="87.5" x14ac:dyDescent="0.35">
      <c r="A9" s="155" t="s">
        <v>58</v>
      </c>
      <c r="B9" s="156" t="s">
        <v>108</v>
      </c>
      <c r="C9" s="156" t="s">
        <v>32</v>
      </c>
      <c r="D9" s="156">
        <v>200</v>
      </c>
      <c r="E9" s="156">
        <v>64.5</v>
      </c>
      <c r="F9" s="156">
        <v>2400</v>
      </c>
      <c r="G9" s="156">
        <v>0.19</v>
      </c>
      <c r="H9" s="4">
        <f t="shared" si="0"/>
        <v>29412</v>
      </c>
      <c r="I9" s="156">
        <v>0</v>
      </c>
      <c r="J9" s="4">
        <f t="shared" si="1"/>
        <v>0</v>
      </c>
      <c r="K9" s="156" t="s">
        <v>53</v>
      </c>
      <c r="L9" s="157" t="s">
        <v>57</v>
      </c>
    </row>
    <row r="10" spans="1:12" ht="70" x14ac:dyDescent="0.35">
      <c r="A10" s="155" t="s">
        <v>58</v>
      </c>
      <c r="B10" s="156" t="s">
        <v>103</v>
      </c>
      <c r="C10" s="156" t="s">
        <v>32</v>
      </c>
      <c r="D10" s="156">
        <v>300</v>
      </c>
      <c r="E10" s="156">
        <v>15.5</v>
      </c>
      <c r="F10" s="156">
        <v>2400</v>
      </c>
      <c r="G10" s="156">
        <v>0.19</v>
      </c>
      <c r="H10" s="4">
        <f t="shared" si="0"/>
        <v>7068</v>
      </c>
      <c r="I10" s="156">
        <v>0</v>
      </c>
      <c r="J10" s="4">
        <f t="shared" si="1"/>
        <v>0</v>
      </c>
      <c r="K10" s="156" t="s">
        <v>53</v>
      </c>
      <c r="L10" s="157" t="s">
        <v>54</v>
      </c>
    </row>
    <row r="11" spans="1:12" ht="70" x14ac:dyDescent="0.35">
      <c r="A11" s="155" t="s">
        <v>58</v>
      </c>
      <c r="B11" s="156" t="s">
        <v>105</v>
      </c>
      <c r="C11" s="156" t="s">
        <v>32</v>
      </c>
      <c r="D11" s="156">
        <v>300</v>
      </c>
      <c r="E11" s="156">
        <v>24</v>
      </c>
      <c r="F11" s="156">
        <v>2400</v>
      </c>
      <c r="G11" s="156">
        <v>0.19</v>
      </c>
      <c r="H11" s="4">
        <f t="shared" si="0"/>
        <v>10944</v>
      </c>
      <c r="I11" s="156">
        <v>0</v>
      </c>
      <c r="J11" s="4">
        <f t="shared" si="1"/>
        <v>0</v>
      </c>
      <c r="K11" s="156" t="s">
        <v>53</v>
      </c>
      <c r="L11" s="157" t="s">
        <v>57</v>
      </c>
    </row>
    <row r="12" spans="1:12" ht="70" x14ac:dyDescent="0.35">
      <c r="A12" s="155" t="s">
        <v>50</v>
      </c>
      <c r="B12" s="156" t="s">
        <v>97</v>
      </c>
      <c r="C12" s="156" t="s">
        <v>52</v>
      </c>
      <c r="D12" s="156">
        <v>66</v>
      </c>
      <c r="E12" s="156">
        <v>71.5</v>
      </c>
      <c r="F12" s="156">
        <v>61</v>
      </c>
      <c r="G12" s="156">
        <v>1.5</v>
      </c>
      <c r="H12" s="4">
        <f t="shared" si="0"/>
        <v>6542.25</v>
      </c>
      <c r="I12" s="156">
        <v>0</v>
      </c>
      <c r="J12" s="4">
        <f t="shared" si="1"/>
        <v>0</v>
      </c>
      <c r="K12" s="156" t="s">
        <v>53</v>
      </c>
      <c r="L12" s="157" t="s">
        <v>54</v>
      </c>
    </row>
    <row r="13" spans="1:12" ht="70" x14ac:dyDescent="0.35">
      <c r="A13" s="155" t="s">
        <v>79</v>
      </c>
      <c r="B13" s="156" t="s">
        <v>97</v>
      </c>
      <c r="C13" s="156" t="s">
        <v>15</v>
      </c>
      <c r="D13" s="156">
        <v>13</v>
      </c>
      <c r="E13" s="156">
        <v>16.5</v>
      </c>
      <c r="F13" s="156">
        <v>875</v>
      </c>
      <c r="G13" s="156">
        <v>0.28000000000000003</v>
      </c>
      <c r="H13" s="4">
        <f t="shared" si="0"/>
        <v>4042.5000000000005</v>
      </c>
      <c r="I13" s="156">
        <v>0</v>
      </c>
      <c r="J13" s="4">
        <f t="shared" si="1"/>
        <v>0</v>
      </c>
      <c r="K13" s="156" t="s">
        <v>53</v>
      </c>
      <c r="L13" s="157" t="s">
        <v>54</v>
      </c>
    </row>
    <row r="14" spans="1:12" ht="70" x14ac:dyDescent="0.35">
      <c r="A14" s="155" t="s">
        <v>79</v>
      </c>
      <c r="B14" s="156" t="s">
        <v>97</v>
      </c>
      <c r="C14" s="156" t="s">
        <v>15</v>
      </c>
      <c r="D14" s="156">
        <v>13</v>
      </c>
      <c r="E14" s="156">
        <v>16.5</v>
      </c>
      <c r="F14" s="156">
        <v>875</v>
      </c>
      <c r="G14" s="156">
        <v>0.28000000000000003</v>
      </c>
      <c r="H14" s="4">
        <f t="shared" si="0"/>
        <v>4042.5000000000005</v>
      </c>
      <c r="I14" s="156">
        <v>0</v>
      </c>
      <c r="J14" s="4">
        <f t="shared" si="1"/>
        <v>0</v>
      </c>
      <c r="K14" s="156" t="s">
        <v>53</v>
      </c>
      <c r="L14" s="157" t="s">
        <v>57</v>
      </c>
    </row>
    <row r="15" spans="1:12" ht="122.5" x14ac:dyDescent="0.35">
      <c r="A15" s="155" t="s">
        <v>50</v>
      </c>
      <c r="B15" s="156" t="s">
        <v>62</v>
      </c>
      <c r="C15" s="156" t="s">
        <v>52</v>
      </c>
      <c r="D15" s="156">
        <v>98</v>
      </c>
      <c r="E15" s="156">
        <v>21.6</v>
      </c>
      <c r="F15" s="156">
        <v>61</v>
      </c>
      <c r="G15" s="156">
        <v>1.5</v>
      </c>
      <c r="H15" s="4">
        <f t="shared" si="0"/>
        <v>1976.4</v>
      </c>
      <c r="I15" s="156">
        <v>0</v>
      </c>
      <c r="J15" s="4">
        <f t="shared" si="1"/>
        <v>0</v>
      </c>
      <c r="K15" s="156" t="s">
        <v>53</v>
      </c>
      <c r="L15" s="157" t="s">
        <v>57</v>
      </c>
    </row>
    <row r="16" spans="1:12" ht="122.5" x14ac:dyDescent="0.35">
      <c r="A16" s="155" t="s">
        <v>89</v>
      </c>
      <c r="B16" s="156" t="s">
        <v>62</v>
      </c>
      <c r="C16" s="156" t="s">
        <v>20</v>
      </c>
      <c r="D16" s="156">
        <v>80</v>
      </c>
      <c r="E16" s="156">
        <v>16.399999999999999</v>
      </c>
      <c r="F16" s="156">
        <v>470</v>
      </c>
      <c r="G16" s="156">
        <v>0.2</v>
      </c>
      <c r="H16" s="4">
        <f t="shared" si="0"/>
        <v>1541.6</v>
      </c>
      <c r="I16" s="156">
        <v>1.6</v>
      </c>
      <c r="J16" s="4">
        <f t="shared" si="1"/>
        <v>12332.8</v>
      </c>
      <c r="K16" s="156" t="s">
        <v>53</v>
      </c>
      <c r="L16" s="157" t="s">
        <v>57</v>
      </c>
    </row>
    <row r="17" spans="1:12" ht="122.5" x14ac:dyDescent="0.35">
      <c r="A17" s="155" t="s">
        <v>59</v>
      </c>
      <c r="B17" s="156" t="s">
        <v>62</v>
      </c>
      <c r="C17" s="156" t="s">
        <v>61</v>
      </c>
      <c r="D17" s="156">
        <v>20</v>
      </c>
      <c r="E17" s="156">
        <v>4.2</v>
      </c>
      <c r="F17" s="156">
        <v>0</v>
      </c>
      <c r="G17" s="156">
        <v>0</v>
      </c>
      <c r="H17" s="4">
        <f t="shared" si="0"/>
        <v>0</v>
      </c>
      <c r="I17" s="156">
        <v>0</v>
      </c>
      <c r="J17" s="4">
        <f t="shared" si="1"/>
        <v>0</v>
      </c>
      <c r="K17" s="156" t="s">
        <v>53</v>
      </c>
      <c r="L17" s="157" t="s">
        <v>57</v>
      </c>
    </row>
    <row r="18" spans="1:12" ht="122.5" x14ac:dyDescent="0.35">
      <c r="A18" s="155" t="s">
        <v>79</v>
      </c>
      <c r="B18" s="156" t="s">
        <v>62</v>
      </c>
      <c r="C18" s="156" t="s">
        <v>15</v>
      </c>
      <c r="D18" s="156">
        <v>15</v>
      </c>
      <c r="E18" s="156">
        <v>3</v>
      </c>
      <c r="F18" s="156">
        <v>875</v>
      </c>
      <c r="G18" s="156">
        <v>0.28000000000000003</v>
      </c>
      <c r="H18" s="4">
        <f t="shared" si="0"/>
        <v>735.00000000000011</v>
      </c>
      <c r="I18" s="156">
        <v>0</v>
      </c>
      <c r="J18" s="4">
        <f t="shared" si="1"/>
        <v>0</v>
      </c>
      <c r="K18" s="156" t="s">
        <v>53</v>
      </c>
      <c r="L18" s="157" t="s">
        <v>54</v>
      </c>
    </row>
    <row r="19" spans="1:12" ht="122.5" x14ac:dyDescent="0.35">
      <c r="A19" s="155" t="s">
        <v>79</v>
      </c>
      <c r="B19" s="156" t="s">
        <v>62</v>
      </c>
      <c r="C19" s="156" t="s">
        <v>15</v>
      </c>
      <c r="D19" s="156">
        <v>15</v>
      </c>
      <c r="E19" s="156">
        <v>6</v>
      </c>
      <c r="F19" s="156">
        <v>875</v>
      </c>
      <c r="G19" s="156">
        <v>0.28000000000000003</v>
      </c>
      <c r="H19" s="4">
        <f t="shared" si="0"/>
        <v>1470.0000000000002</v>
      </c>
      <c r="I19" s="156">
        <v>0</v>
      </c>
      <c r="J19" s="4">
        <f t="shared" si="1"/>
        <v>0</v>
      </c>
      <c r="K19" s="156" t="s">
        <v>53</v>
      </c>
      <c r="L19" s="157" t="s">
        <v>57</v>
      </c>
    </row>
    <row r="20" spans="1:12" ht="52.5" x14ac:dyDescent="0.35">
      <c r="A20" s="155" t="s">
        <v>89</v>
      </c>
      <c r="B20" s="156" t="s">
        <v>80</v>
      </c>
      <c r="C20" s="156" t="s">
        <v>20</v>
      </c>
      <c r="D20" s="156">
        <v>80</v>
      </c>
      <c r="E20" s="156">
        <v>8.6</v>
      </c>
      <c r="F20" s="156">
        <v>470</v>
      </c>
      <c r="G20" s="156">
        <v>0.2</v>
      </c>
      <c r="H20" s="4">
        <f t="shared" si="0"/>
        <v>808.40000000000009</v>
      </c>
      <c r="I20" s="156">
        <v>1.6</v>
      </c>
      <c r="J20" s="4">
        <f t="shared" si="1"/>
        <v>6467.2000000000007</v>
      </c>
      <c r="K20" s="156" t="s">
        <v>53</v>
      </c>
      <c r="L20" s="157" t="s">
        <v>54</v>
      </c>
    </row>
    <row r="21" spans="1:12" ht="52.5" x14ac:dyDescent="0.35">
      <c r="A21" s="155" t="s">
        <v>79</v>
      </c>
      <c r="B21" s="156" t="s">
        <v>80</v>
      </c>
      <c r="C21" s="156" t="s">
        <v>15</v>
      </c>
      <c r="D21" s="156">
        <v>15</v>
      </c>
      <c r="E21" s="156">
        <v>1.8</v>
      </c>
      <c r="F21" s="156">
        <v>875</v>
      </c>
      <c r="G21" s="156">
        <v>0.28000000000000003</v>
      </c>
      <c r="H21" s="4">
        <f t="shared" si="0"/>
        <v>441.00000000000006</v>
      </c>
      <c r="I21" s="156">
        <v>0</v>
      </c>
      <c r="J21" s="4">
        <f t="shared" si="1"/>
        <v>0</v>
      </c>
      <c r="K21" s="156" t="s">
        <v>53</v>
      </c>
      <c r="L21" s="157" t="s">
        <v>57</v>
      </c>
    </row>
    <row r="22" spans="1:12" ht="52.5" x14ac:dyDescent="0.35">
      <c r="A22" s="155" t="s">
        <v>79</v>
      </c>
      <c r="B22" s="156" t="s">
        <v>80</v>
      </c>
      <c r="C22" s="156" t="s">
        <v>15</v>
      </c>
      <c r="D22" s="156">
        <v>15</v>
      </c>
      <c r="E22" s="156">
        <v>1.8</v>
      </c>
      <c r="F22" s="156">
        <v>875</v>
      </c>
      <c r="G22" s="156">
        <v>0.28000000000000003</v>
      </c>
      <c r="H22" s="4">
        <f t="shared" si="0"/>
        <v>441.00000000000006</v>
      </c>
      <c r="I22" s="156">
        <v>0</v>
      </c>
      <c r="J22" s="4">
        <f t="shared" si="1"/>
        <v>0</v>
      </c>
      <c r="K22" s="156" t="s">
        <v>53</v>
      </c>
      <c r="L22" s="157" t="s">
        <v>54</v>
      </c>
    </row>
    <row r="23" spans="1:12" ht="175" x14ac:dyDescent="0.35">
      <c r="A23" s="155" t="s">
        <v>89</v>
      </c>
      <c r="B23" s="156" t="s">
        <v>85</v>
      </c>
      <c r="C23" s="156" t="s">
        <v>20</v>
      </c>
      <c r="D23" s="156">
        <v>80</v>
      </c>
      <c r="E23" s="156">
        <v>23.1</v>
      </c>
      <c r="F23" s="156">
        <v>470</v>
      </c>
      <c r="G23" s="156">
        <v>0.2</v>
      </c>
      <c r="H23" s="4">
        <f t="shared" si="0"/>
        <v>2171.4</v>
      </c>
      <c r="I23" s="156">
        <v>1.6</v>
      </c>
      <c r="J23" s="4">
        <f t="shared" si="1"/>
        <v>17371.2</v>
      </c>
      <c r="K23" s="156" t="s">
        <v>53</v>
      </c>
      <c r="L23" s="157" t="s">
        <v>57</v>
      </c>
    </row>
    <row r="24" spans="1:12" ht="175" x14ac:dyDescent="0.35">
      <c r="A24" s="155" t="s">
        <v>79</v>
      </c>
      <c r="B24" s="156" t="s">
        <v>85</v>
      </c>
      <c r="C24" s="156" t="s">
        <v>15</v>
      </c>
      <c r="D24" s="156">
        <v>15</v>
      </c>
      <c r="E24" s="156">
        <v>3.5</v>
      </c>
      <c r="F24" s="156">
        <v>875</v>
      </c>
      <c r="G24" s="156">
        <v>0.28000000000000003</v>
      </c>
      <c r="H24" s="4">
        <f t="shared" si="0"/>
        <v>857.50000000000011</v>
      </c>
      <c r="I24" s="156">
        <v>0</v>
      </c>
      <c r="J24" s="4">
        <f t="shared" si="1"/>
        <v>0</v>
      </c>
      <c r="K24" s="156" t="s">
        <v>53</v>
      </c>
      <c r="L24" s="157" t="s">
        <v>57</v>
      </c>
    </row>
    <row r="25" spans="1:12" ht="175" x14ac:dyDescent="0.35">
      <c r="A25" s="155" t="s">
        <v>79</v>
      </c>
      <c r="B25" s="156" t="s">
        <v>85</v>
      </c>
      <c r="C25" s="156" t="s">
        <v>15</v>
      </c>
      <c r="D25" s="156">
        <v>15</v>
      </c>
      <c r="E25" s="156">
        <v>3.5</v>
      </c>
      <c r="F25" s="156">
        <v>875</v>
      </c>
      <c r="G25" s="156">
        <v>0.28000000000000003</v>
      </c>
      <c r="H25" s="4">
        <f t="shared" si="0"/>
        <v>857.50000000000011</v>
      </c>
      <c r="I25" s="156">
        <v>0</v>
      </c>
      <c r="J25" s="4">
        <f t="shared" si="1"/>
        <v>0</v>
      </c>
      <c r="K25" s="156" t="s">
        <v>53</v>
      </c>
      <c r="L25" s="157" t="s">
        <v>54</v>
      </c>
    </row>
    <row r="26" spans="1:12" ht="157.5" x14ac:dyDescent="0.35">
      <c r="A26" s="155" t="s">
        <v>50</v>
      </c>
      <c r="B26" s="156" t="s">
        <v>93</v>
      </c>
      <c r="C26" s="156" t="s">
        <v>52</v>
      </c>
      <c r="D26" s="156">
        <v>66</v>
      </c>
      <c r="E26" s="156">
        <v>19.399999999999999</v>
      </c>
      <c r="F26" s="156">
        <v>61</v>
      </c>
      <c r="G26" s="156">
        <v>1.5</v>
      </c>
      <c r="H26" s="4">
        <f t="shared" si="0"/>
        <v>1775.1</v>
      </c>
      <c r="I26" s="156">
        <v>0</v>
      </c>
      <c r="J26" s="4">
        <f t="shared" si="1"/>
        <v>0</v>
      </c>
      <c r="K26" s="156" t="s">
        <v>53</v>
      </c>
      <c r="L26" s="157" t="s">
        <v>54</v>
      </c>
    </row>
    <row r="27" spans="1:12" ht="157.5" x14ac:dyDescent="0.35">
      <c r="A27" s="155" t="s">
        <v>79</v>
      </c>
      <c r="B27" s="156" t="s">
        <v>93</v>
      </c>
      <c r="C27" s="156" t="s">
        <v>15</v>
      </c>
      <c r="D27" s="156">
        <v>15</v>
      </c>
      <c r="E27" s="156">
        <v>7</v>
      </c>
      <c r="F27" s="156">
        <v>875</v>
      </c>
      <c r="G27" s="156">
        <v>0.28000000000000003</v>
      </c>
      <c r="H27" s="4">
        <f t="shared" si="0"/>
        <v>1715.0000000000002</v>
      </c>
      <c r="I27" s="156">
        <v>0</v>
      </c>
      <c r="J27" s="4">
        <f t="shared" si="1"/>
        <v>0</v>
      </c>
      <c r="K27" s="156" t="s">
        <v>53</v>
      </c>
      <c r="L27" s="157" t="s">
        <v>57</v>
      </c>
    </row>
    <row r="28" spans="1:12" ht="122.5" x14ac:dyDescent="0.35">
      <c r="A28" s="155" t="s">
        <v>50</v>
      </c>
      <c r="B28" s="156" t="s">
        <v>63</v>
      </c>
      <c r="C28" s="156" t="s">
        <v>52</v>
      </c>
      <c r="D28" s="156">
        <v>68</v>
      </c>
      <c r="E28" s="156">
        <v>16.600000000000001</v>
      </c>
      <c r="F28" s="156">
        <v>61</v>
      </c>
      <c r="G28" s="156">
        <v>1.5</v>
      </c>
      <c r="H28" s="4">
        <f t="shared" si="0"/>
        <v>1518.9</v>
      </c>
      <c r="I28" s="156">
        <v>0</v>
      </c>
      <c r="J28" s="4">
        <f t="shared" si="1"/>
        <v>0</v>
      </c>
      <c r="K28" s="156" t="s">
        <v>53</v>
      </c>
      <c r="L28" s="157" t="s">
        <v>54</v>
      </c>
    </row>
    <row r="29" spans="1:12" ht="122.5" x14ac:dyDescent="0.35">
      <c r="A29" s="155" t="s">
        <v>89</v>
      </c>
      <c r="B29" s="156" t="s">
        <v>63</v>
      </c>
      <c r="C29" s="156" t="s">
        <v>20</v>
      </c>
      <c r="D29" s="156">
        <v>80</v>
      </c>
      <c r="E29" s="156">
        <v>19</v>
      </c>
      <c r="F29" s="156">
        <v>470</v>
      </c>
      <c r="G29" s="156">
        <v>0.2</v>
      </c>
      <c r="H29" s="4">
        <f t="shared" si="0"/>
        <v>1786</v>
      </c>
      <c r="I29" s="156">
        <v>1.6</v>
      </c>
      <c r="J29" s="4">
        <f t="shared" si="1"/>
        <v>14288</v>
      </c>
      <c r="K29" s="156" t="s">
        <v>53</v>
      </c>
      <c r="L29" s="157" t="s">
        <v>54</v>
      </c>
    </row>
    <row r="30" spans="1:12" ht="122.5" x14ac:dyDescent="0.35">
      <c r="A30" s="155" t="s">
        <v>59</v>
      </c>
      <c r="B30" s="156" t="s">
        <v>63</v>
      </c>
      <c r="C30" s="156" t="s">
        <v>61</v>
      </c>
      <c r="D30" s="156">
        <v>20</v>
      </c>
      <c r="E30" s="156">
        <v>5.0999999999999996</v>
      </c>
      <c r="F30" s="156">
        <v>0</v>
      </c>
      <c r="G30" s="156">
        <v>0</v>
      </c>
      <c r="H30" s="4">
        <f t="shared" si="0"/>
        <v>0</v>
      </c>
      <c r="I30" s="156">
        <v>0</v>
      </c>
      <c r="J30" s="4">
        <f t="shared" si="1"/>
        <v>0</v>
      </c>
      <c r="K30" s="156" t="s">
        <v>53</v>
      </c>
      <c r="L30" s="157" t="s">
        <v>54</v>
      </c>
    </row>
    <row r="31" spans="1:12" ht="122.5" x14ac:dyDescent="0.35">
      <c r="A31" s="155" t="s">
        <v>79</v>
      </c>
      <c r="B31" s="156" t="s">
        <v>63</v>
      </c>
      <c r="C31" s="156" t="s">
        <v>15</v>
      </c>
      <c r="D31" s="156">
        <v>15</v>
      </c>
      <c r="E31" s="156">
        <v>8.6999999999999993</v>
      </c>
      <c r="F31" s="156">
        <v>875</v>
      </c>
      <c r="G31" s="156">
        <v>0.28000000000000003</v>
      </c>
      <c r="H31" s="4">
        <f t="shared" si="0"/>
        <v>2131.5</v>
      </c>
      <c r="I31" s="156">
        <v>0</v>
      </c>
      <c r="J31" s="4">
        <f t="shared" si="1"/>
        <v>0</v>
      </c>
      <c r="K31" s="156" t="s">
        <v>53</v>
      </c>
      <c r="L31" s="157" t="s">
        <v>57</v>
      </c>
    </row>
    <row r="32" spans="1:12" ht="87.5" x14ac:dyDescent="0.35">
      <c r="A32" s="155" t="s">
        <v>50</v>
      </c>
      <c r="B32" s="156" t="s">
        <v>102</v>
      </c>
      <c r="C32" s="156" t="s">
        <v>52</v>
      </c>
      <c r="D32" s="156">
        <v>50</v>
      </c>
      <c r="E32" s="156">
        <v>43</v>
      </c>
      <c r="F32" s="156">
        <v>61</v>
      </c>
      <c r="G32" s="156">
        <v>1.5</v>
      </c>
      <c r="H32" s="4">
        <f t="shared" si="0"/>
        <v>3934.5</v>
      </c>
      <c r="I32" s="156">
        <v>0</v>
      </c>
      <c r="J32" s="4">
        <f t="shared" si="1"/>
        <v>0</v>
      </c>
      <c r="K32" s="156" t="s">
        <v>53</v>
      </c>
      <c r="L32" s="157" t="s">
        <v>54</v>
      </c>
    </row>
    <row r="33" spans="1:12" ht="87.5" x14ac:dyDescent="0.35">
      <c r="A33" s="155" t="s">
        <v>89</v>
      </c>
      <c r="B33" s="156" t="s">
        <v>102</v>
      </c>
      <c r="C33" s="156" t="s">
        <v>20</v>
      </c>
      <c r="D33" s="156">
        <v>80</v>
      </c>
      <c r="E33" s="156">
        <v>137.6</v>
      </c>
      <c r="F33" s="156">
        <v>470</v>
      </c>
      <c r="G33" s="156">
        <v>0.2</v>
      </c>
      <c r="H33" s="4">
        <f t="shared" si="0"/>
        <v>12934.400000000001</v>
      </c>
      <c r="I33" s="156">
        <v>1.6</v>
      </c>
      <c r="J33" s="4">
        <f t="shared" si="1"/>
        <v>103475.20000000001</v>
      </c>
      <c r="K33" s="156" t="s">
        <v>53</v>
      </c>
      <c r="L33" s="157" t="s">
        <v>54</v>
      </c>
    </row>
    <row r="34" spans="1:12" ht="87.5" x14ac:dyDescent="0.35">
      <c r="A34" s="155" t="s">
        <v>79</v>
      </c>
      <c r="B34" s="156" t="s">
        <v>102</v>
      </c>
      <c r="C34" s="156" t="s">
        <v>15</v>
      </c>
      <c r="D34" s="156">
        <v>15</v>
      </c>
      <c r="E34" s="156">
        <v>26</v>
      </c>
      <c r="F34" s="156">
        <v>875</v>
      </c>
      <c r="G34" s="156">
        <v>0.28000000000000003</v>
      </c>
      <c r="H34" s="4">
        <f t="shared" si="0"/>
        <v>6370.0000000000009</v>
      </c>
      <c r="I34" s="156">
        <v>0</v>
      </c>
      <c r="J34" s="4">
        <f t="shared" si="1"/>
        <v>0</v>
      </c>
      <c r="K34" s="156" t="s">
        <v>53</v>
      </c>
      <c r="L34" s="157" t="s">
        <v>57</v>
      </c>
    </row>
    <row r="35" spans="1:12" ht="70" x14ac:dyDescent="0.35">
      <c r="A35" s="155" t="s">
        <v>95</v>
      </c>
      <c r="B35" s="156" t="s">
        <v>96</v>
      </c>
      <c r="C35" s="156" t="s">
        <v>30</v>
      </c>
      <c r="D35" s="156">
        <v>300</v>
      </c>
      <c r="E35" s="156">
        <v>3.8</v>
      </c>
      <c r="F35" s="156">
        <v>2375</v>
      </c>
      <c r="G35" s="156">
        <v>0.15</v>
      </c>
      <c r="H35" s="4">
        <f t="shared" si="0"/>
        <v>1353.75</v>
      </c>
      <c r="I35" s="156">
        <v>0</v>
      </c>
      <c r="J35" s="4">
        <f t="shared" si="1"/>
        <v>0</v>
      </c>
      <c r="K35" s="156" t="s">
        <v>53</v>
      </c>
      <c r="L35" s="157" t="s">
        <v>54</v>
      </c>
    </row>
    <row r="36" spans="1:12" ht="70" x14ac:dyDescent="0.35">
      <c r="A36" s="155" t="s">
        <v>95</v>
      </c>
      <c r="B36" s="156" t="s">
        <v>104</v>
      </c>
      <c r="C36" s="156" t="s">
        <v>30</v>
      </c>
      <c r="D36" s="156">
        <v>200</v>
      </c>
      <c r="E36" s="156">
        <v>16.3</v>
      </c>
      <c r="F36" s="156">
        <v>2375</v>
      </c>
      <c r="G36" s="156">
        <v>0.15</v>
      </c>
      <c r="H36" s="4">
        <f t="shared" si="0"/>
        <v>5806.875</v>
      </c>
      <c r="I36" s="156">
        <v>0</v>
      </c>
      <c r="J36" s="4">
        <f t="shared" si="1"/>
        <v>0</v>
      </c>
      <c r="K36" s="156" t="s">
        <v>53</v>
      </c>
      <c r="L36" s="157" t="s">
        <v>54</v>
      </c>
    </row>
    <row r="37" spans="1:12" ht="87.5" x14ac:dyDescent="0.35">
      <c r="A37" s="155" t="s">
        <v>89</v>
      </c>
      <c r="B37" s="156" t="s">
        <v>120</v>
      </c>
      <c r="C37" s="156" t="s">
        <v>20</v>
      </c>
      <c r="D37" s="156">
        <v>200</v>
      </c>
      <c r="E37" s="156">
        <v>47.5</v>
      </c>
      <c r="F37" s="156">
        <v>470</v>
      </c>
      <c r="G37" s="156">
        <v>0.2</v>
      </c>
      <c r="H37" s="4">
        <f t="shared" si="0"/>
        <v>4465</v>
      </c>
      <c r="I37" s="156">
        <v>1.6</v>
      </c>
      <c r="J37" s="4">
        <f t="shared" si="1"/>
        <v>35720</v>
      </c>
      <c r="K37" s="156" t="s">
        <v>53</v>
      </c>
      <c r="L37" s="157" t="s">
        <v>57</v>
      </c>
    </row>
    <row r="38" spans="1:12" ht="87.5" x14ac:dyDescent="0.35">
      <c r="A38" s="155" t="s">
        <v>59</v>
      </c>
      <c r="B38" s="156" t="s">
        <v>120</v>
      </c>
      <c r="C38" s="156" t="s">
        <v>61</v>
      </c>
      <c r="D38" s="156">
        <v>230</v>
      </c>
      <c r="E38" s="156">
        <v>53.1</v>
      </c>
      <c r="F38" s="156">
        <v>0</v>
      </c>
      <c r="G38" s="156">
        <v>0</v>
      </c>
      <c r="H38" s="4">
        <f t="shared" si="0"/>
        <v>0</v>
      </c>
      <c r="I38" s="156">
        <v>0</v>
      </c>
      <c r="J38" s="4">
        <f t="shared" si="1"/>
        <v>0</v>
      </c>
      <c r="K38" s="156" t="s">
        <v>53</v>
      </c>
      <c r="L38" s="157" t="s">
        <v>54</v>
      </c>
    </row>
    <row r="39" spans="1:12" ht="87.5" x14ac:dyDescent="0.35">
      <c r="A39" s="155" t="s">
        <v>79</v>
      </c>
      <c r="B39" s="156" t="s">
        <v>120</v>
      </c>
      <c r="C39" s="156" t="s">
        <v>15</v>
      </c>
      <c r="D39" s="156">
        <v>15</v>
      </c>
      <c r="E39" s="156">
        <v>10.5</v>
      </c>
      <c r="F39" s="156">
        <v>875</v>
      </c>
      <c r="G39" s="156">
        <v>0.28000000000000003</v>
      </c>
      <c r="H39" s="4">
        <f t="shared" si="0"/>
        <v>2572.5000000000005</v>
      </c>
      <c r="I39" s="156">
        <v>0</v>
      </c>
      <c r="J39" s="4">
        <f t="shared" si="1"/>
        <v>0</v>
      </c>
      <c r="K39" s="156" t="s">
        <v>53</v>
      </c>
      <c r="L39" s="157" t="s">
        <v>54</v>
      </c>
    </row>
    <row r="40" spans="1:12" ht="140" x14ac:dyDescent="0.35">
      <c r="A40" s="155" t="s">
        <v>50</v>
      </c>
      <c r="B40" s="156" t="s">
        <v>118</v>
      </c>
      <c r="C40" s="156" t="s">
        <v>52</v>
      </c>
      <c r="D40" s="156">
        <v>30</v>
      </c>
      <c r="E40" s="156">
        <v>5.5</v>
      </c>
      <c r="F40" s="156">
        <v>61</v>
      </c>
      <c r="G40" s="156">
        <v>1.5</v>
      </c>
      <c r="H40" s="4">
        <f t="shared" si="0"/>
        <v>503.25</v>
      </c>
      <c r="I40" s="156">
        <v>0</v>
      </c>
      <c r="J40" s="4">
        <f t="shared" si="1"/>
        <v>0</v>
      </c>
      <c r="K40" s="156" t="s">
        <v>53</v>
      </c>
      <c r="L40" s="157" t="s">
        <v>57</v>
      </c>
    </row>
    <row r="41" spans="1:12" ht="140" x14ac:dyDescent="0.35">
      <c r="A41" s="155" t="s">
        <v>89</v>
      </c>
      <c r="B41" s="156" t="s">
        <v>118</v>
      </c>
      <c r="C41" s="156" t="s">
        <v>20</v>
      </c>
      <c r="D41" s="156">
        <v>80</v>
      </c>
      <c r="E41" s="156">
        <v>22</v>
      </c>
      <c r="F41" s="156">
        <v>470</v>
      </c>
      <c r="G41" s="156">
        <v>0.2</v>
      </c>
      <c r="H41" s="4">
        <f t="shared" si="0"/>
        <v>2068</v>
      </c>
      <c r="I41" s="156">
        <v>1.6</v>
      </c>
      <c r="J41" s="4">
        <f t="shared" si="1"/>
        <v>16544</v>
      </c>
      <c r="K41" s="156" t="s">
        <v>53</v>
      </c>
      <c r="L41" s="157" t="s">
        <v>57</v>
      </c>
    </row>
    <row r="42" spans="1:12" ht="140" x14ac:dyDescent="0.35">
      <c r="A42" s="155" t="s">
        <v>79</v>
      </c>
      <c r="B42" s="156" t="s">
        <v>118</v>
      </c>
      <c r="C42" s="156" t="s">
        <v>15</v>
      </c>
      <c r="D42" s="156">
        <v>15</v>
      </c>
      <c r="E42" s="156">
        <v>5.5</v>
      </c>
      <c r="F42" s="156">
        <v>875</v>
      </c>
      <c r="G42" s="156">
        <v>0.28000000000000003</v>
      </c>
      <c r="H42" s="4">
        <f t="shared" si="0"/>
        <v>1347.5000000000002</v>
      </c>
      <c r="I42" s="156">
        <v>0</v>
      </c>
      <c r="J42" s="4">
        <f t="shared" si="1"/>
        <v>0</v>
      </c>
      <c r="K42" s="156" t="s">
        <v>53</v>
      </c>
      <c r="L42" s="157" t="s">
        <v>57</v>
      </c>
    </row>
    <row r="43" spans="1:12" ht="140" x14ac:dyDescent="0.35">
      <c r="A43" s="155" t="s">
        <v>101</v>
      </c>
      <c r="B43" s="156" t="s">
        <v>118</v>
      </c>
      <c r="C43" s="156" t="s">
        <v>4</v>
      </c>
      <c r="D43" s="156">
        <v>40</v>
      </c>
      <c r="E43" s="156">
        <v>11</v>
      </c>
      <c r="F43" s="156">
        <v>2353</v>
      </c>
      <c r="G43" s="156">
        <v>0.12</v>
      </c>
      <c r="H43" s="4">
        <f t="shared" si="0"/>
        <v>3105.96</v>
      </c>
      <c r="I43" s="156">
        <v>0</v>
      </c>
      <c r="J43" s="4">
        <f t="shared" si="1"/>
        <v>0</v>
      </c>
      <c r="K43" s="156" t="s">
        <v>53</v>
      </c>
      <c r="L43" s="157" t="s">
        <v>57</v>
      </c>
    </row>
    <row r="44" spans="1:12" ht="140" x14ac:dyDescent="0.35">
      <c r="A44" s="155" t="s">
        <v>64</v>
      </c>
      <c r="B44" s="156" t="s">
        <v>118</v>
      </c>
      <c r="C44" s="156" t="s">
        <v>66</v>
      </c>
      <c r="D44" s="156">
        <v>25</v>
      </c>
      <c r="E44" s="156">
        <v>5.5</v>
      </c>
      <c r="F44" s="156">
        <v>0</v>
      </c>
      <c r="G44" s="156">
        <v>0</v>
      </c>
      <c r="H44" s="4">
        <f t="shared" si="0"/>
        <v>0</v>
      </c>
      <c r="I44" s="156">
        <v>0</v>
      </c>
      <c r="J44" s="4">
        <f t="shared" si="1"/>
        <v>0</v>
      </c>
      <c r="K44" s="156" t="s">
        <v>53</v>
      </c>
      <c r="L44" s="157" t="s">
        <v>57</v>
      </c>
    </row>
    <row r="45" spans="1:12" ht="140" x14ac:dyDescent="0.35">
      <c r="A45" s="155" t="s">
        <v>64</v>
      </c>
      <c r="B45" s="156" t="s">
        <v>118</v>
      </c>
      <c r="C45" s="156" t="s">
        <v>66</v>
      </c>
      <c r="D45" s="156">
        <v>48</v>
      </c>
      <c r="E45" s="156">
        <v>11</v>
      </c>
      <c r="F45" s="156">
        <v>0</v>
      </c>
      <c r="G45" s="156">
        <v>0</v>
      </c>
      <c r="H45" s="4">
        <f t="shared" si="0"/>
        <v>0</v>
      </c>
      <c r="I45" s="156">
        <v>0</v>
      </c>
      <c r="J45" s="4">
        <f t="shared" si="1"/>
        <v>0</v>
      </c>
      <c r="K45" s="156" t="s">
        <v>53</v>
      </c>
      <c r="L45" s="157" t="s">
        <v>57</v>
      </c>
    </row>
    <row r="46" spans="1:12" ht="140" x14ac:dyDescent="0.35">
      <c r="A46" s="155" t="s">
        <v>64</v>
      </c>
      <c r="B46" s="156" t="s">
        <v>118</v>
      </c>
      <c r="C46" s="156" t="s">
        <v>66</v>
      </c>
      <c r="D46" s="156">
        <v>150</v>
      </c>
      <c r="E46" s="156">
        <v>38.4</v>
      </c>
      <c r="F46" s="156">
        <v>0</v>
      </c>
      <c r="G46" s="156">
        <v>0</v>
      </c>
      <c r="H46" s="4">
        <f t="shared" si="0"/>
        <v>0</v>
      </c>
      <c r="I46" s="156">
        <v>0</v>
      </c>
      <c r="J46" s="4">
        <f t="shared" si="1"/>
        <v>0</v>
      </c>
      <c r="K46" s="156" t="s">
        <v>53</v>
      </c>
      <c r="L46" s="157" t="s">
        <v>57</v>
      </c>
    </row>
    <row r="47" spans="1:12" ht="140" x14ac:dyDescent="0.35">
      <c r="A47" s="155" t="s">
        <v>121</v>
      </c>
      <c r="B47" s="156" t="s">
        <v>118</v>
      </c>
      <c r="C47" s="156" t="s">
        <v>13</v>
      </c>
      <c r="D47" s="156">
        <v>50</v>
      </c>
      <c r="E47" s="156">
        <v>11</v>
      </c>
      <c r="F47" s="156">
        <v>1000</v>
      </c>
      <c r="G47" s="156">
        <v>0.05</v>
      </c>
      <c r="H47" s="4">
        <f t="shared" si="0"/>
        <v>550</v>
      </c>
      <c r="I47" s="156">
        <v>0</v>
      </c>
      <c r="J47" s="4">
        <f t="shared" si="1"/>
        <v>0</v>
      </c>
      <c r="K47" s="156" t="s">
        <v>53</v>
      </c>
      <c r="L47" s="157" t="s">
        <v>57</v>
      </c>
    </row>
    <row r="48" spans="1:12" ht="87.5" x14ac:dyDescent="0.35">
      <c r="A48" s="155" t="s">
        <v>50</v>
      </c>
      <c r="B48" s="156" t="s">
        <v>119</v>
      </c>
      <c r="C48" s="156" t="s">
        <v>52</v>
      </c>
      <c r="D48" s="156">
        <v>30</v>
      </c>
      <c r="E48" s="156">
        <v>42</v>
      </c>
      <c r="F48" s="156">
        <v>61</v>
      </c>
      <c r="G48" s="156">
        <v>1.5</v>
      </c>
      <c r="H48" s="4">
        <f t="shared" si="0"/>
        <v>3843</v>
      </c>
      <c r="I48" s="156">
        <v>0</v>
      </c>
      <c r="J48" s="4">
        <f t="shared" si="1"/>
        <v>0</v>
      </c>
      <c r="K48" s="156" t="s">
        <v>53</v>
      </c>
      <c r="L48" s="157" t="s">
        <v>57</v>
      </c>
    </row>
    <row r="49" spans="1:12" ht="87.5" x14ac:dyDescent="0.35">
      <c r="A49" s="155" t="s">
        <v>89</v>
      </c>
      <c r="B49" s="156" t="s">
        <v>119</v>
      </c>
      <c r="C49" s="156" t="s">
        <v>20</v>
      </c>
      <c r="D49" s="156">
        <v>200</v>
      </c>
      <c r="E49" s="156">
        <v>284.7</v>
      </c>
      <c r="F49" s="156">
        <v>470</v>
      </c>
      <c r="G49" s="156">
        <v>0.2</v>
      </c>
      <c r="H49" s="4">
        <f t="shared" si="0"/>
        <v>26761.800000000003</v>
      </c>
      <c r="I49" s="156">
        <v>1.6</v>
      </c>
      <c r="J49" s="4">
        <f t="shared" si="1"/>
        <v>214094.40000000002</v>
      </c>
      <c r="K49" s="156" t="s">
        <v>53</v>
      </c>
      <c r="L49" s="157" t="s">
        <v>54</v>
      </c>
    </row>
    <row r="50" spans="1:12" ht="87.5" x14ac:dyDescent="0.35">
      <c r="A50" s="155" t="s">
        <v>79</v>
      </c>
      <c r="B50" s="156" t="s">
        <v>119</v>
      </c>
      <c r="C50" s="156" t="s">
        <v>15</v>
      </c>
      <c r="D50" s="156">
        <v>15</v>
      </c>
      <c r="E50" s="156">
        <v>22.4</v>
      </c>
      <c r="F50" s="156">
        <v>875</v>
      </c>
      <c r="G50" s="156">
        <v>0.28000000000000003</v>
      </c>
      <c r="H50" s="4">
        <f t="shared" si="0"/>
        <v>5488.0000000000009</v>
      </c>
      <c r="I50" s="156">
        <v>0</v>
      </c>
      <c r="J50" s="4">
        <f t="shared" si="1"/>
        <v>0</v>
      </c>
      <c r="K50" s="156" t="s">
        <v>53</v>
      </c>
      <c r="L50" s="157" t="s">
        <v>54</v>
      </c>
    </row>
    <row r="51" spans="1:12" ht="87.5" x14ac:dyDescent="0.35">
      <c r="A51" s="155" t="s">
        <v>101</v>
      </c>
      <c r="B51" s="156" t="s">
        <v>119</v>
      </c>
      <c r="C51" s="156" t="s">
        <v>4</v>
      </c>
      <c r="D51" s="156">
        <v>40</v>
      </c>
      <c r="E51" s="156">
        <v>57.8</v>
      </c>
      <c r="F51" s="156">
        <v>2353</v>
      </c>
      <c r="G51" s="156">
        <v>0.12</v>
      </c>
      <c r="H51" s="4">
        <f t="shared" si="0"/>
        <v>16320.407999999999</v>
      </c>
      <c r="I51" s="156">
        <v>0</v>
      </c>
      <c r="J51" s="4">
        <f t="shared" si="1"/>
        <v>0</v>
      </c>
      <c r="K51" s="156" t="s">
        <v>53</v>
      </c>
      <c r="L51" s="157" t="s">
        <v>57</v>
      </c>
    </row>
    <row r="52" spans="1:12" ht="87.5" x14ac:dyDescent="0.35">
      <c r="A52" s="155" t="s">
        <v>64</v>
      </c>
      <c r="B52" s="156" t="s">
        <v>119</v>
      </c>
      <c r="C52" s="156" t="s">
        <v>66</v>
      </c>
      <c r="D52" s="156">
        <v>25</v>
      </c>
      <c r="E52" s="156">
        <v>35.4</v>
      </c>
      <c r="F52" s="156">
        <v>0</v>
      </c>
      <c r="G52" s="156">
        <v>0</v>
      </c>
      <c r="H52" s="4">
        <f t="shared" si="0"/>
        <v>0</v>
      </c>
      <c r="I52" s="156">
        <v>0</v>
      </c>
      <c r="J52" s="4">
        <f t="shared" si="1"/>
        <v>0</v>
      </c>
      <c r="K52" s="156" t="s">
        <v>53</v>
      </c>
      <c r="L52" s="157" t="s">
        <v>54</v>
      </c>
    </row>
    <row r="53" spans="1:12" ht="87.5" x14ac:dyDescent="0.35">
      <c r="A53" s="155" t="s">
        <v>64</v>
      </c>
      <c r="B53" s="156" t="s">
        <v>119</v>
      </c>
      <c r="C53" s="156" t="s">
        <v>66</v>
      </c>
      <c r="D53" s="156">
        <v>48</v>
      </c>
      <c r="E53" s="156">
        <v>69</v>
      </c>
      <c r="F53" s="156">
        <v>0</v>
      </c>
      <c r="G53" s="156">
        <v>0</v>
      </c>
      <c r="H53" s="4">
        <f t="shared" si="0"/>
        <v>0</v>
      </c>
      <c r="I53" s="156">
        <v>0</v>
      </c>
      <c r="J53" s="4">
        <f t="shared" si="1"/>
        <v>0</v>
      </c>
      <c r="K53" s="156" t="s">
        <v>53</v>
      </c>
      <c r="L53" s="157" t="s">
        <v>54</v>
      </c>
    </row>
    <row r="54" spans="1:12" ht="87.5" x14ac:dyDescent="0.35">
      <c r="A54" s="155" t="s">
        <v>121</v>
      </c>
      <c r="B54" s="156" t="s">
        <v>119</v>
      </c>
      <c r="C54" s="156" t="s">
        <v>13</v>
      </c>
      <c r="D54" s="156">
        <v>50</v>
      </c>
      <c r="E54" s="156">
        <v>70</v>
      </c>
      <c r="F54" s="156">
        <v>1000</v>
      </c>
      <c r="G54" s="156">
        <v>0.05</v>
      </c>
      <c r="H54" s="4">
        <f t="shared" si="0"/>
        <v>3500</v>
      </c>
      <c r="I54" s="156">
        <v>0</v>
      </c>
      <c r="J54" s="4">
        <f t="shared" si="1"/>
        <v>0</v>
      </c>
      <c r="K54" s="156" t="s">
        <v>53</v>
      </c>
      <c r="L54" s="157" t="s">
        <v>57</v>
      </c>
    </row>
    <row r="55" spans="1:12" ht="52.5" x14ac:dyDescent="0.35">
      <c r="A55" s="155" t="s">
        <v>90</v>
      </c>
      <c r="B55" s="156" t="s">
        <v>91</v>
      </c>
      <c r="C55" s="156" t="s">
        <v>22</v>
      </c>
      <c r="D55" s="156">
        <v>25</v>
      </c>
      <c r="E55" s="156">
        <v>14.8</v>
      </c>
      <c r="F55" s="156">
        <v>474</v>
      </c>
      <c r="G55" s="156">
        <v>0.09</v>
      </c>
      <c r="H55" s="4">
        <f t="shared" si="0"/>
        <v>631.36800000000005</v>
      </c>
      <c r="I55" s="156">
        <v>1.6</v>
      </c>
      <c r="J55" s="4">
        <f t="shared" si="1"/>
        <v>11224.320000000002</v>
      </c>
      <c r="K55" s="156" t="s">
        <v>53</v>
      </c>
      <c r="L55" s="157" t="s">
        <v>54</v>
      </c>
    </row>
    <row r="56" spans="1:12" ht="52.5" x14ac:dyDescent="0.35">
      <c r="A56" s="155" t="s">
        <v>94</v>
      </c>
      <c r="B56" s="156" t="s">
        <v>91</v>
      </c>
      <c r="C56" s="156" t="s">
        <v>28</v>
      </c>
      <c r="D56" s="156">
        <v>2</v>
      </c>
      <c r="E56" s="156">
        <v>1.2</v>
      </c>
      <c r="F56" s="156">
        <v>7850</v>
      </c>
      <c r="G56" s="156">
        <v>3.1</v>
      </c>
      <c r="H56" s="4">
        <f t="shared" si="0"/>
        <v>29202</v>
      </c>
      <c r="I56" s="156">
        <v>0</v>
      </c>
      <c r="J56" s="4">
        <f t="shared" si="1"/>
        <v>0</v>
      </c>
      <c r="K56" s="156" t="s">
        <v>53</v>
      </c>
      <c r="L56" s="157" t="s">
        <v>54</v>
      </c>
    </row>
    <row r="57" spans="1:12" ht="122.5" x14ac:dyDescent="0.35">
      <c r="A57" s="155" t="s">
        <v>50</v>
      </c>
      <c r="B57" s="156" t="s">
        <v>88</v>
      </c>
      <c r="C57" s="156" t="s">
        <v>52</v>
      </c>
      <c r="D57" s="156">
        <v>140</v>
      </c>
      <c r="E57" s="156">
        <v>8.3000000000000007</v>
      </c>
      <c r="F57" s="156">
        <v>61</v>
      </c>
      <c r="G57" s="156">
        <v>1.5</v>
      </c>
      <c r="H57" s="4">
        <f t="shared" si="0"/>
        <v>759.45</v>
      </c>
      <c r="I57" s="156">
        <v>0</v>
      </c>
      <c r="J57" s="4">
        <f t="shared" si="1"/>
        <v>0</v>
      </c>
      <c r="K57" s="156" t="s">
        <v>53</v>
      </c>
      <c r="L57" s="157" t="s">
        <v>54</v>
      </c>
    </row>
    <row r="58" spans="1:12" ht="122.5" x14ac:dyDescent="0.35">
      <c r="A58" s="155" t="s">
        <v>55</v>
      </c>
      <c r="B58" s="156" t="s">
        <v>88</v>
      </c>
      <c r="C58" s="156" t="s">
        <v>56</v>
      </c>
      <c r="D58" s="156">
        <v>100</v>
      </c>
      <c r="E58" s="156">
        <v>6</v>
      </c>
      <c r="F58" s="156">
        <v>2363</v>
      </c>
      <c r="G58" s="156">
        <v>0.14000000000000001</v>
      </c>
      <c r="H58" s="4">
        <f t="shared" si="0"/>
        <v>1984.9200000000003</v>
      </c>
      <c r="I58" s="156">
        <v>0</v>
      </c>
      <c r="J58" s="4">
        <f t="shared" si="1"/>
        <v>0</v>
      </c>
      <c r="K58" s="156" t="s">
        <v>53</v>
      </c>
      <c r="L58" s="157" t="s">
        <v>57</v>
      </c>
    </row>
    <row r="59" spans="1:12" ht="122.5" x14ac:dyDescent="0.35">
      <c r="A59" s="155" t="s">
        <v>58</v>
      </c>
      <c r="B59" s="156" t="s">
        <v>88</v>
      </c>
      <c r="C59" s="156" t="s">
        <v>32</v>
      </c>
      <c r="D59" s="156">
        <v>300</v>
      </c>
      <c r="E59" s="156">
        <v>16.5</v>
      </c>
      <c r="F59" s="156">
        <v>2400</v>
      </c>
      <c r="G59" s="156">
        <v>0.19</v>
      </c>
      <c r="H59" s="4">
        <f t="shared" si="0"/>
        <v>7524</v>
      </c>
      <c r="I59" s="156">
        <v>0</v>
      </c>
      <c r="J59" s="4">
        <f t="shared" si="1"/>
        <v>0</v>
      </c>
      <c r="K59" s="156" t="s">
        <v>53</v>
      </c>
      <c r="L59" s="157" t="s">
        <v>54</v>
      </c>
    </row>
    <row r="60" spans="1:12" ht="105" x14ac:dyDescent="0.35">
      <c r="A60" s="155" t="s">
        <v>50</v>
      </c>
      <c r="B60" s="156" t="s">
        <v>51</v>
      </c>
      <c r="C60" s="156" t="s">
        <v>52</v>
      </c>
      <c r="D60" s="156">
        <v>250</v>
      </c>
      <c r="E60" s="156">
        <v>0</v>
      </c>
      <c r="F60" s="156">
        <v>61</v>
      </c>
      <c r="G60" s="156">
        <v>1.5</v>
      </c>
      <c r="H60" s="4">
        <f t="shared" si="0"/>
        <v>0</v>
      </c>
      <c r="I60" s="156">
        <v>0</v>
      </c>
      <c r="J60" s="4">
        <f t="shared" si="1"/>
        <v>0</v>
      </c>
      <c r="K60" s="156" t="s">
        <v>53</v>
      </c>
      <c r="L60" s="157" t="s">
        <v>54</v>
      </c>
    </row>
    <row r="61" spans="1:12" ht="105" x14ac:dyDescent="0.35">
      <c r="A61" s="155" t="s">
        <v>55</v>
      </c>
      <c r="B61" s="156" t="s">
        <v>51</v>
      </c>
      <c r="C61" s="156" t="s">
        <v>56</v>
      </c>
      <c r="D61" s="156">
        <v>70</v>
      </c>
      <c r="E61" s="156">
        <v>0</v>
      </c>
      <c r="F61" s="156">
        <v>2363</v>
      </c>
      <c r="G61" s="156">
        <v>0.14000000000000001</v>
      </c>
      <c r="H61" s="4">
        <f t="shared" si="0"/>
        <v>0</v>
      </c>
      <c r="I61" s="156">
        <v>0</v>
      </c>
      <c r="J61" s="4">
        <f t="shared" si="1"/>
        <v>0</v>
      </c>
      <c r="K61" s="156" t="s">
        <v>53</v>
      </c>
      <c r="L61" s="157" t="s">
        <v>57</v>
      </c>
    </row>
    <row r="62" spans="1:12" ht="105" x14ac:dyDescent="0.35">
      <c r="A62" s="155" t="s">
        <v>58</v>
      </c>
      <c r="B62" s="156" t="s">
        <v>51</v>
      </c>
      <c r="C62" s="156" t="s">
        <v>32</v>
      </c>
      <c r="D62" s="156">
        <v>150</v>
      </c>
      <c r="E62" s="156">
        <v>0</v>
      </c>
      <c r="F62" s="156">
        <v>2400</v>
      </c>
      <c r="G62" s="156">
        <v>0.19</v>
      </c>
      <c r="H62" s="4">
        <f t="shared" si="0"/>
        <v>0</v>
      </c>
      <c r="I62" s="156">
        <v>0</v>
      </c>
      <c r="J62" s="4">
        <f t="shared" si="1"/>
        <v>0</v>
      </c>
      <c r="K62" s="156" t="s">
        <v>53</v>
      </c>
      <c r="L62" s="157" t="s">
        <v>54</v>
      </c>
    </row>
    <row r="63" spans="1:12" ht="52.5" x14ac:dyDescent="0.35">
      <c r="A63" s="155" t="s">
        <v>70</v>
      </c>
      <c r="B63" s="156" t="s">
        <v>60</v>
      </c>
      <c r="C63" s="156" t="s">
        <v>71</v>
      </c>
      <c r="D63" s="156">
        <v>25</v>
      </c>
      <c r="E63" s="156">
        <v>1.4</v>
      </c>
      <c r="F63" s="156">
        <v>60</v>
      </c>
      <c r="G63" s="156">
        <v>1.02</v>
      </c>
      <c r="H63" s="4">
        <f t="shared" si="0"/>
        <v>85.68</v>
      </c>
      <c r="I63" s="156">
        <v>1.1000000000000001</v>
      </c>
      <c r="J63" s="4">
        <f t="shared" si="1"/>
        <v>92.4</v>
      </c>
      <c r="K63" s="156" t="s">
        <v>53</v>
      </c>
      <c r="L63" s="157" t="s">
        <v>54</v>
      </c>
    </row>
    <row r="64" spans="1:12" ht="52.5" x14ac:dyDescent="0.35">
      <c r="A64" s="155" t="s">
        <v>59</v>
      </c>
      <c r="B64" s="156" t="s">
        <v>60</v>
      </c>
      <c r="C64" s="156" t="s">
        <v>61</v>
      </c>
      <c r="D64" s="156">
        <v>32</v>
      </c>
      <c r="E64" s="156">
        <v>1.8</v>
      </c>
      <c r="F64" s="156">
        <v>0</v>
      </c>
      <c r="G64" s="156">
        <v>0</v>
      </c>
      <c r="H64" s="4">
        <f t="shared" si="0"/>
        <v>0</v>
      </c>
      <c r="I64" s="156">
        <v>0</v>
      </c>
      <c r="J64" s="4">
        <f t="shared" si="1"/>
        <v>0</v>
      </c>
      <c r="K64" s="156" t="s">
        <v>53</v>
      </c>
      <c r="L64" s="157" t="s">
        <v>57</v>
      </c>
    </row>
    <row r="65" spans="1:12" ht="52.5" x14ac:dyDescent="0.35">
      <c r="A65" s="155" t="s">
        <v>78</v>
      </c>
      <c r="B65" s="156" t="s">
        <v>60</v>
      </c>
      <c r="C65" s="156" t="s">
        <v>26</v>
      </c>
      <c r="D65" s="156">
        <v>28</v>
      </c>
      <c r="E65" s="156">
        <v>1.6</v>
      </c>
      <c r="F65" s="156">
        <v>474</v>
      </c>
      <c r="G65" s="156">
        <v>0.09</v>
      </c>
      <c r="H65" s="4">
        <f t="shared" si="0"/>
        <v>68.256</v>
      </c>
      <c r="I65" s="156">
        <v>1.6</v>
      </c>
      <c r="J65" s="4">
        <f t="shared" si="1"/>
        <v>1213.4400000000003</v>
      </c>
      <c r="K65" s="156" t="s">
        <v>53</v>
      </c>
      <c r="L65" s="157" t="s">
        <v>57</v>
      </c>
    </row>
    <row r="66" spans="1:12" ht="105" x14ac:dyDescent="0.35">
      <c r="A66" s="155" t="s">
        <v>50</v>
      </c>
      <c r="B66" s="156" t="s">
        <v>67</v>
      </c>
      <c r="C66" s="156" t="s">
        <v>52</v>
      </c>
      <c r="D66" s="156">
        <v>220</v>
      </c>
      <c r="E66" s="156">
        <v>237</v>
      </c>
      <c r="F66" s="156">
        <v>61</v>
      </c>
      <c r="G66" s="156">
        <v>1.5</v>
      </c>
      <c r="H66" s="4">
        <f t="shared" si="0"/>
        <v>21685.5</v>
      </c>
      <c r="I66" s="156">
        <v>0</v>
      </c>
      <c r="J66" s="4">
        <f t="shared" si="1"/>
        <v>0</v>
      </c>
      <c r="K66" s="156" t="s">
        <v>53</v>
      </c>
      <c r="L66" s="157" t="s">
        <v>54</v>
      </c>
    </row>
    <row r="67" spans="1:12" ht="105" x14ac:dyDescent="0.35">
      <c r="A67" s="155" t="s">
        <v>89</v>
      </c>
      <c r="B67" s="156" t="s">
        <v>67</v>
      </c>
      <c r="C67" s="156" t="s">
        <v>20</v>
      </c>
      <c r="D67" s="156">
        <v>80</v>
      </c>
      <c r="E67" s="156">
        <v>84.5</v>
      </c>
      <c r="F67" s="156">
        <v>470</v>
      </c>
      <c r="G67" s="156">
        <v>0.2</v>
      </c>
      <c r="H67" s="4">
        <f t="shared" si="0"/>
        <v>7943</v>
      </c>
      <c r="I67" s="156">
        <v>1.6</v>
      </c>
      <c r="J67" s="4">
        <f t="shared" si="1"/>
        <v>63544</v>
      </c>
      <c r="K67" s="156" t="s">
        <v>53</v>
      </c>
      <c r="L67" s="157" t="s">
        <v>54</v>
      </c>
    </row>
    <row r="68" spans="1:12" ht="105" x14ac:dyDescent="0.35">
      <c r="A68" s="155" t="s">
        <v>59</v>
      </c>
      <c r="B68" s="156" t="s">
        <v>67</v>
      </c>
      <c r="C68" s="156" t="s">
        <v>61</v>
      </c>
      <c r="D68" s="156">
        <v>32</v>
      </c>
      <c r="E68" s="156">
        <v>34.5</v>
      </c>
      <c r="F68" s="156">
        <v>0</v>
      </c>
      <c r="G68" s="156">
        <v>0</v>
      </c>
      <c r="H68" s="4">
        <f t="shared" si="0"/>
        <v>0</v>
      </c>
      <c r="I68" s="156">
        <v>0</v>
      </c>
      <c r="J68" s="4">
        <f t="shared" si="1"/>
        <v>0</v>
      </c>
      <c r="K68" s="156" t="s">
        <v>53</v>
      </c>
      <c r="L68" s="157" t="s">
        <v>57</v>
      </c>
    </row>
    <row r="69" spans="1:12" ht="105" x14ac:dyDescent="0.35">
      <c r="A69" s="155" t="s">
        <v>79</v>
      </c>
      <c r="B69" s="156" t="s">
        <v>67</v>
      </c>
      <c r="C69" s="156" t="s">
        <v>15</v>
      </c>
      <c r="D69" s="156">
        <v>15</v>
      </c>
      <c r="E69" s="156">
        <v>12.4</v>
      </c>
      <c r="F69" s="156">
        <v>875</v>
      </c>
      <c r="G69" s="156">
        <v>0.28000000000000003</v>
      </c>
      <c r="H69" s="4">
        <f t="shared" si="0"/>
        <v>3038.0000000000005</v>
      </c>
      <c r="I69" s="156">
        <v>0</v>
      </c>
      <c r="J69" s="4">
        <f t="shared" si="1"/>
        <v>0</v>
      </c>
      <c r="K69" s="156" t="s">
        <v>53</v>
      </c>
      <c r="L69" s="157" t="s">
        <v>57</v>
      </c>
    </row>
    <row r="70" spans="1:12" ht="105" x14ac:dyDescent="0.35">
      <c r="A70" s="155" t="s">
        <v>78</v>
      </c>
      <c r="B70" s="156" t="s">
        <v>67</v>
      </c>
      <c r="C70" s="156" t="s">
        <v>26</v>
      </c>
      <c r="D70" s="156">
        <v>28</v>
      </c>
      <c r="E70" s="156">
        <v>31</v>
      </c>
      <c r="F70" s="156">
        <v>474</v>
      </c>
      <c r="G70" s="156">
        <v>0.09</v>
      </c>
      <c r="H70" s="4">
        <f t="shared" ref="H70:H82" si="2">(F70*E70)*G70</f>
        <v>1322.46</v>
      </c>
      <c r="I70" s="156">
        <v>1.6</v>
      </c>
      <c r="J70" s="4">
        <f t="shared" ref="J70:J82" si="3">(F70*E70)*I70</f>
        <v>23510.400000000001</v>
      </c>
      <c r="K70" s="156" t="s">
        <v>53</v>
      </c>
      <c r="L70" s="157" t="s">
        <v>57</v>
      </c>
    </row>
    <row r="71" spans="1:12" ht="70" x14ac:dyDescent="0.35">
      <c r="A71" s="155" t="s">
        <v>95</v>
      </c>
      <c r="B71" s="156" t="s">
        <v>106</v>
      </c>
      <c r="C71" s="156" t="s">
        <v>30</v>
      </c>
      <c r="D71" s="156">
        <v>440</v>
      </c>
      <c r="E71" s="156">
        <v>31.6</v>
      </c>
      <c r="F71" s="156">
        <v>2375</v>
      </c>
      <c r="G71" s="156">
        <v>0.15</v>
      </c>
      <c r="H71" s="4">
        <f t="shared" si="2"/>
        <v>11257.5</v>
      </c>
      <c r="I71" s="156">
        <v>0</v>
      </c>
      <c r="J71" s="4">
        <f t="shared" si="3"/>
        <v>0</v>
      </c>
      <c r="K71" s="156" t="s">
        <v>53</v>
      </c>
      <c r="L71" s="157" t="s">
        <v>54</v>
      </c>
    </row>
    <row r="72" spans="1:12" ht="52.5" x14ac:dyDescent="0.35">
      <c r="A72" s="155" t="s">
        <v>72</v>
      </c>
      <c r="B72" s="156" t="s">
        <v>77</v>
      </c>
      <c r="C72" s="156" t="s">
        <v>74</v>
      </c>
      <c r="D72" s="156">
        <v>140</v>
      </c>
      <c r="E72" s="156">
        <v>37.6</v>
      </c>
      <c r="F72" s="156">
        <v>16</v>
      </c>
      <c r="G72" s="156">
        <v>3.5</v>
      </c>
      <c r="H72" s="4">
        <f t="shared" si="2"/>
        <v>2105.6</v>
      </c>
      <c r="I72" s="156">
        <v>0</v>
      </c>
      <c r="J72" s="4">
        <f t="shared" si="3"/>
        <v>0</v>
      </c>
      <c r="K72" s="156" t="s">
        <v>53</v>
      </c>
      <c r="L72" s="157" t="s">
        <v>54</v>
      </c>
    </row>
    <row r="73" spans="1:12" ht="70" x14ac:dyDescent="0.35">
      <c r="A73" s="155" t="s">
        <v>95</v>
      </c>
      <c r="B73" s="156" t="s">
        <v>77</v>
      </c>
      <c r="C73" s="156" t="s">
        <v>30</v>
      </c>
      <c r="D73" s="156">
        <v>100</v>
      </c>
      <c r="E73" s="156">
        <v>27.1</v>
      </c>
      <c r="F73" s="156">
        <v>2375</v>
      </c>
      <c r="G73" s="156">
        <v>0.15</v>
      </c>
      <c r="H73" s="4">
        <f t="shared" si="2"/>
        <v>9654.375</v>
      </c>
      <c r="I73" s="156">
        <v>0</v>
      </c>
      <c r="J73" s="4">
        <f t="shared" si="3"/>
        <v>0</v>
      </c>
      <c r="K73" s="156" t="s">
        <v>53</v>
      </c>
      <c r="L73" s="157" t="s">
        <v>54</v>
      </c>
    </row>
    <row r="74" spans="1:12" ht="70" x14ac:dyDescent="0.35">
      <c r="A74" s="155" t="s">
        <v>95</v>
      </c>
      <c r="B74" s="156" t="s">
        <v>77</v>
      </c>
      <c r="C74" s="156" t="s">
        <v>30</v>
      </c>
      <c r="D74" s="156">
        <v>200</v>
      </c>
      <c r="E74" s="156">
        <v>52.9</v>
      </c>
      <c r="F74" s="156">
        <v>2375</v>
      </c>
      <c r="G74" s="156">
        <v>0.15</v>
      </c>
      <c r="H74" s="4">
        <f t="shared" si="2"/>
        <v>18845.625</v>
      </c>
      <c r="I74" s="156">
        <v>0</v>
      </c>
      <c r="J74" s="4">
        <f t="shared" si="3"/>
        <v>0</v>
      </c>
      <c r="K74" s="156" t="s">
        <v>53</v>
      </c>
      <c r="L74" s="157" t="s">
        <v>54</v>
      </c>
    </row>
    <row r="75" spans="1:12" ht="70" x14ac:dyDescent="0.35">
      <c r="A75" s="155" t="s">
        <v>95</v>
      </c>
      <c r="B75" s="156" t="s">
        <v>107</v>
      </c>
      <c r="C75" s="156" t="s">
        <v>31</v>
      </c>
      <c r="D75" s="156">
        <v>270</v>
      </c>
      <c r="E75" s="156">
        <v>89</v>
      </c>
      <c r="F75" s="156">
        <v>1410</v>
      </c>
      <c r="G75" s="156">
        <v>0.17</v>
      </c>
      <c r="H75" s="4">
        <f t="shared" si="2"/>
        <v>21333.300000000003</v>
      </c>
      <c r="I75" s="156">
        <v>0</v>
      </c>
      <c r="J75" s="4">
        <f t="shared" si="3"/>
        <v>0</v>
      </c>
      <c r="K75" s="156" t="s">
        <v>53</v>
      </c>
      <c r="L75" s="157" t="s">
        <v>54</v>
      </c>
    </row>
    <row r="76" spans="1:12" ht="70" x14ac:dyDescent="0.35">
      <c r="A76" s="155" t="s">
        <v>72</v>
      </c>
      <c r="B76" s="156" t="s">
        <v>73</v>
      </c>
      <c r="C76" s="156" t="s">
        <v>74</v>
      </c>
      <c r="D76" s="156">
        <v>250</v>
      </c>
      <c r="E76" s="156">
        <v>13.9</v>
      </c>
      <c r="F76" s="156">
        <v>16</v>
      </c>
      <c r="G76" s="156">
        <v>3.5</v>
      </c>
      <c r="H76" s="4">
        <f t="shared" si="2"/>
        <v>778.4</v>
      </c>
      <c r="I76" s="156">
        <v>0</v>
      </c>
      <c r="J76" s="4">
        <f t="shared" si="3"/>
        <v>0</v>
      </c>
      <c r="K76" s="156" t="s">
        <v>53</v>
      </c>
      <c r="L76" s="157" t="s">
        <v>54</v>
      </c>
    </row>
    <row r="77" spans="1:12" ht="70" x14ac:dyDescent="0.35">
      <c r="A77" s="155" t="s">
        <v>55</v>
      </c>
      <c r="B77" s="156" t="s">
        <v>73</v>
      </c>
      <c r="C77" s="156" t="s">
        <v>56</v>
      </c>
      <c r="D77" s="156">
        <v>150</v>
      </c>
      <c r="E77" s="156">
        <v>8.3000000000000007</v>
      </c>
      <c r="F77" s="156">
        <v>2363</v>
      </c>
      <c r="G77" s="156">
        <v>0.14000000000000001</v>
      </c>
      <c r="H77" s="4">
        <f t="shared" si="2"/>
        <v>2745.8060000000005</v>
      </c>
      <c r="I77" s="156">
        <v>0</v>
      </c>
      <c r="J77" s="4">
        <f t="shared" si="3"/>
        <v>0</v>
      </c>
      <c r="K77" s="156" t="s">
        <v>53</v>
      </c>
      <c r="L77" s="157" t="s">
        <v>57</v>
      </c>
    </row>
    <row r="78" spans="1:12" ht="52.5" x14ac:dyDescent="0.35">
      <c r="A78" s="155" t="s">
        <v>72</v>
      </c>
      <c r="B78" s="156" t="s">
        <v>84</v>
      </c>
      <c r="C78" s="156" t="s">
        <v>74</v>
      </c>
      <c r="D78" s="156">
        <v>300</v>
      </c>
      <c r="E78" s="156">
        <v>104.5</v>
      </c>
      <c r="F78" s="156">
        <v>16</v>
      </c>
      <c r="G78" s="156">
        <v>3.5</v>
      </c>
      <c r="H78" s="4">
        <f t="shared" si="2"/>
        <v>5852</v>
      </c>
      <c r="I78" s="156">
        <v>0</v>
      </c>
      <c r="J78" s="4">
        <f t="shared" si="3"/>
        <v>0</v>
      </c>
      <c r="K78" s="156" t="s">
        <v>53</v>
      </c>
      <c r="L78" s="157" t="s">
        <v>54</v>
      </c>
    </row>
    <row r="79" spans="1:12" ht="52.5" x14ac:dyDescent="0.35">
      <c r="A79" s="155" t="s">
        <v>55</v>
      </c>
      <c r="B79" s="156" t="s">
        <v>84</v>
      </c>
      <c r="C79" s="156" t="s">
        <v>56</v>
      </c>
      <c r="D79" s="156">
        <v>100</v>
      </c>
      <c r="E79" s="156">
        <v>34.700000000000003</v>
      </c>
      <c r="F79" s="156">
        <v>2363</v>
      </c>
      <c r="G79" s="156">
        <v>0.14000000000000001</v>
      </c>
      <c r="H79" s="4">
        <f t="shared" si="2"/>
        <v>11479.454000000002</v>
      </c>
      <c r="I79" s="156">
        <v>0</v>
      </c>
      <c r="J79" s="4">
        <f t="shared" si="3"/>
        <v>0</v>
      </c>
      <c r="K79" s="156" t="s">
        <v>53</v>
      </c>
      <c r="L79" s="157" t="s">
        <v>57</v>
      </c>
    </row>
    <row r="80" spans="1:12" ht="70" x14ac:dyDescent="0.35">
      <c r="A80" s="155" t="s">
        <v>58</v>
      </c>
      <c r="B80" s="156" t="s">
        <v>82</v>
      </c>
      <c r="C80" s="156" t="s">
        <v>32</v>
      </c>
      <c r="D80" s="156">
        <v>540</v>
      </c>
      <c r="E80" s="156">
        <v>17.600000000000001</v>
      </c>
      <c r="F80" s="156">
        <v>2400</v>
      </c>
      <c r="G80" s="156">
        <v>0.19</v>
      </c>
      <c r="H80" s="4">
        <f t="shared" si="2"/>
        <v>8025.6</v>
      </c>
      <c r="I80" s="156">
        <v>0</v>
      </c>
      <c r="J80" s="4">
        <f t="shared" si="3"/>
        <v>0</v>
      </c>
      <c r="K80" s="156" t="s">
        <v>53</v>
      </c>
      <c r="L80" s="157" t="s">
        <v>54</v>
      </c>
    </row>
    <row r="81" spans="1:12" ht="70" x14ac:dyDescent="0.35">
      <c r="A81" s="155" t="s">
        <v>58</v>
      </c>
      <c r="B81" s="156" t="s">
        <v>82</v>
      </c>
      <c r="C81" s="156" t="s">
        <v>32</v>
      </c>
      <c r="D81" s="156">
        <v>740</v>
      </c>
      <c r="E81" s="156">
        <v>20.399999999999999</v>
      </c>
      <c r="F81" s="156">
        <v>2400</v>
      </c>
      <c r="G81" s="156">
        <v>0.19</v>
      </c>
      <c r="H81" s="4">
        <f t="shared" si="2"/>
        <v>9302.4</v>
      </c>
      <c r="I81" s="156">
        <v>0</v>
      </c>
      <c r="J81" s="4">
        <f t="shared" si="3"/>
        <v>0</v>
      </c>
      <c r="K81" s="156" t="s">
        <v>53</v>
      </c>
      <c r="L81" s="157" t="s">
        <v>54</v>
      </c>
    </row>
    <row r="82" spans="1:12" ht="52.5" x14ac:dyDescent="0.35">
      <c r="A82" s="155" t="s">
        <v>81</v>
      </c>
      <c r="B82" s="156" t="s">
        <v>82</v>
      </c>
      <c r="C82" s="156" t="s">
        <v>18</v>
      </c>
      <c r="D82" s="156">
        <v>5</v>
      </c>
      <c r="E82" s="156">
        <v>0</v>
      </c>
      <c r="F82" s="156">
        <v>1620</v>
      </c>
      <c r="G82" s="156">
        <v>0.16</v>
      </c>
      <c r="H82" s="4">
        <f t="shared" si="2"/>
        <v>0</v>
      </c>
      <c r="I82" s="156">
        <v>0</v>
      </c>
      <c r="J82" s="4">
        <f t="shared" si="3"/>
        <v>0</v>
      </c>
      <c r="K82" s="156" t="s">
        <v>53</v>
      </c>
      <c r="L82" s="157" t="s">
        <v>83</v>
      </c>
    </row>
    <row r="83" spans="1:12" ht="17.5" x14ac:dyDescent="0.35">
      <c r="A83" s="156" t="s">
        <v>109</v>
      </c>
      <c r="B83" s="156" t="s">
        <v>109</v>
      </c>
      <c r="C83" s="156" t="s">
        <v>109</v>
      </c>
      <c r="D83" s="156" t="s">
        <v>109</v>
      </c>
      <c r="E83" s="156"/>
      <c r="F83" s="156" t="s">
        <v>109</v>
      </c>
      <c r="G83" s="156"/>
      <c r="H83" s="140">
        <f>SUM(H6:H82)</f>
        <v>373726.51699999999</v>
      </c>
      <c r="I83" s="140"/>
      <c r="J83" s="140">
        <f t="shared" ref="J83" si="4">SUM(J6:J82)</f>
        <v>545896.56000000006</v>
      </c>
      <c r="K83" s="156" t="s">
        <v>109</v>
      </c>
      <c r="L83" s="156" t="s">
        <v>109</v>
      </c>
    </row>
    <row r="84" spans="1:12" ht="15.5" x14ac:dyDescent="0.3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</row>
    <row r="85" spans="1:12" ht="15.5" x14ac:dyDescent="0.35">
      <c r="A85" s="4"/>
      <c r="B85" s="4"/>
      <c r="C85" s="4"/>
      <c r="D85" s="4"/>
      <c r="E85" s="4"/>
      <c r="F85" s="4"/>
      <c r="G85" s="4"/>
      <c r="H85" s="4"/>
      <c r="I85" s="140">
        <f>H83-J83</f>
        <v>-172170.04300000006</v>
      </c>
      <c r="J85" s="4" t="s">
        <v>44</v>
      </c>
      <c r="K85" s="4"/>
      <c r="L85" s="4"/>
    </row>
    <row r="86" spans="1:12" ht="15.5" x14ac:dyDescent="0.35">
      <c r="A86" s="4"/>
      <c r="B86" s="4"/>
      <c r="C86" s="4"/>
      <c r="D86" s="4"/>
      <c r="E86" s="4"/>
      <c r="F86" s="4"/>
      <c r="G86" s="4"/>
      <c r="H86" s="4"/>
      <c r="I86" s="140">
        <f>I85/1000</f>
        <v>-172.17004300000005</v>
      </c>
      <c r="J86" s="4" t="s">
        <v>110</v>
      </c>
      <c r="K86" s="4"/>
      <c r="L86" s="4"/>
    </row>
    <row r="87" spans="1:12" ht="15.5" x14ac:dyDescent="0.3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</row>
    <row r="88" spans="1:12" ht="15.5" x14ac:dyDescent="0.3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</row>
  </sheetData>
  <protectedRanges>
    <protectedRange sqref="A1:L86" name="Alue1"/>
  </protectedRanges>
  <mergeCells count="1">
    <mergeCell ref="A3:J3"/>
  </mergeCells>
  <conditionalFormatting sqref="I85:I86">
    <cfRule type="cellIs" dxfId="251" priority="1" operator="lessThan">
      <formula>0</formula>
    </cfRule>
    <cfRule type="cellIs" dxfId="250" priority="2" operator="greaterThan">
      <formula>0</formula>
    </cfRule>
  </conditionalFormatting>
  <pageMargins left="0.7" right="0.7" top="0.75" bottom="0.75" header="0.3" footer="0.3"/>
  <pageSetup paperSize="9" orientation="portrait" verticalDpi="0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F02A8A-4747-4571-ABE0-F8FC6EC05722}">
  <dimension ref="A1:M98"/>
  <sheetViews>
    <sheetView workbookViewId="0">
      <selection activeCell="M104" sqref="M104"/>
    </sheetView>
  </sheetViews>
  <sheetFormatPr defaultRowHeight="14.5" x14ac:dyDescent="0.35"/>
  <cols>
    <col min="4" max="5" width="8.81640625" bestFit="1" customWidth="1"/>
    <col min="6" max="6" width="9.7265625" bestFit="1" customWidth="1"/>
    <col min="7" max="11" width="8.81640625" bestFit="1" customWidth="1"/>
  </cols>
  <sheetData>
    <row r="1" spans="1:13" ht="15.5" x14ac:dyDescent="0.35">
      <c r="A1" s="4" t="s">
        <v>345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pans="1:13" ht="15.5" x14ac:dyDescent="0.3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pans="1:13" ht="17.5" x14ac:dyDescent="0.35">
      <c r="A3" s="266" t="s">
        <v>266</v>
      </c>
      <c r="B3" s="266"/>
      <c r="C3" s="266"/>
      <c r="D3" s="266"/>
      <c r="E3" s="266"/>
      <c r="F3" s="266"/>
      <c r="G3" s="266"/>
      <c r="H3" s="266"/>
      <c r="I3" s="266"/>
      <c r="J3" s="266"/>
      <c r="K3" s="266"/>
      <c r="L3" s="4"/>
      <c r="M3" s="4"/>
    </row>
    <row r="4" spans="1:13" ht="87.5" x14ac:dyDescent="0.35">
      <c r="A4" s="136" t="s">
        <v>36</v>
      </c>
      <c r="B4" s="136" t="s">
        <v>37</v>
      </c>
      <c r="C4" s="136" t="s">
        <v>38</v>
      </c>
      <c r="D4" s="136" t="s">
        <v>39</v>
      </c>
      <c r="E4" s="136" t="s">
        <v>40</v>
      </c>
      <c r="F4" s="136" t="s">
        <v>41</v>
      </c>
      <c r="G4" s="136" t="s">
        <v>42</v>
      </c>
      <c r="H4" s="136" t="s">
        <v>43</v>
      </c>
      <c r="I4" s="4"/>
      <c r="J4" s="136" t="s">
        <v>45</v>
      </c>
      <c r="K4" s="4"/>
      <c r="L4" s="136" t="s">
        <v>152</v>
      </c>
      <c r="M4" s="136" t="s">
        <v>47</v>
      </c>
    </row>
    <row r="5" spans="1:13" ht="52.5" x14ac:dyDescent="0.45">
      <c r="A5" s="158" t="s">
        <v>36</v>
      </c>
      <c r="B5" s="159" t="s">
        <v>37</v>
      </c>
      <c r="C5" s="159" t="s">
        <v>38</v>
      </c>
      <c r="D5" s="159" t="s">
        <v>265</v>
      </c>
      <c r="E5" s="159" t="s">
        <v>264</v>
      </c>
      <c r="F5" s="159" t="s">
        <v>113</v>
      </c>
      <c r="G5" s="159" t="s">
        <v>114</v>
      </c>
      <c r="H5" s="159" t="s">
        <v>115</v>
      </c>
      <c r="I5" s="160" t="s">
        <v>44</v>
      </c>
      <c r="J5" s="159" t="s">
        <v>116</v>
      </c>
      <c r="K5" s="160" t="s">
        <v>117</v>
      </c>
      <c r="L5" s="159" t="s">
        <v>152</v>
      </c>
      <c r="M5" s="161" t="s">
        <v>263</v>
      </c>
    </row>
    <row r="6" spans="1:13" ht="105" x14ac:dyDescent="0.45">
      <c r="A6" s="158" t="s">
        <v>58</v>
      </c>
      <c r="B6" s="159" t="s">
        <v>51</v>
      </c>
      <c r="C6" s="159" t="s">
        <v>32</v>
      </c>
      <c r="D6" s="159">
        <v>150</v>
      </c>
      <c r="E6" s="159">
        <v>0</v>
      </c>
      <c r="F6" s="159">
        <v>0</v>
      </c>
      <c r="G6" s="159">
        <v>2400</v>
      </c>
      <c r="H6" s="159">
        <v>0.19</v>
      </c>
      <c r="I6" s="160">
        <f t="shared" ref="I6:I37" si="0">(G6*E6)*H6</f>
        <v>0</v>
      </c>
      <c r="J6" s="159">
        <v>0</v>
      </c>
      <c r="K6" s="160">
        <f t="shared" ref="K6:K37" si="1">(G6*E6)*J6</f>
        <v>0</v>
      </c>
      <c r="L6" s="159" t="s">
        <v>53</v>
      </c>
      <c r="M6" s="161" t="s">
        <v>54</v>
      </c>
    </row>
    <row r="7" spans="1:13" ht="105" x14ac:dyDescent="0.45">
      <c r="A7" s="158" t="s">
        <v>50</v>
      </c>
      <c r="B7" s="159" t="s">
        <v>51</v>
      </c>
      <c r="C7" s="159" t="s">
        <v>52</v>
      </c>
      <c r="D7" s="159">
        <v>250</v>
      </c>
      <c r="E7" s="159">
        <v>0</v>
      </c>
      <c r="F7" s="159">
        <v>0</v>
      </c>
      <c r="G7" s="159">
        <v>61</v>
      </c>
      <c r="H7" s="159">
        <v>1.5</v>
      </c>
      <c r="I7" s="160">
        <f t="shared" si="0"/>
        <v>0</v>
      </c>
      <c r="J7" s="159">
        <v>0</v>
      </c>
      <c r="K7" s="160">
        <f t="shared" si="1"/>
        <v>0</v>
      </c>
      <c r="L7" s="159" t="s">
        <v>53</v>
      </c>
      <c r="M7" s="161" t="s">
        <v>54</v>
      </c>
    </row>
    <row r="8" spans="1:13" ht="105" x14ac:dyDescent="0.45">
      <c r="A8" s="158" t="s">
        <v>55</v>
      </c>
      <c r="B8" s="159" t="s">
        <v>51</v>
      </c>
      <c r="C8" s="159" t="s">
        <v>56</v>
      </c>
      <c r="D8" s="159">
        <v>70</v>
      </c>
      <c r="E8" s="159">
        <v>0</v>
      </c>
      <c r="F8" s="159">
        <v>0</v>
      </c>
      <c r="G8" s="159">
        <v>2363</v>
      </c>
      <c r="H8" s="159">
        <v>0.14000000000000001</v>
      </c>
      <c r="I8" s="160">
        <f t="shared" si="0"/>
        <v>0</v>
      </c>
      <c r="J8" s="159">
        <v>0</v>
      </c>
      <c r="K8" s="160">
        <f t="shared" si="1"/>
        <v>0</v>
      </c>
      <c r="L8" s="159" t="s">
        <v>53</v>
      </c>
      <c r="M8" s="161" t="s">
        <v>57</v>
      </c>
    </row>
    <row r="9" spans="1:13" ht="52.5" x14ac:dyDescent="0.45">
      <c r="A9" s="158" t="s">
        <v>59</v>
      </c>
      <c r="B9" s="159" t="s">
        <v>60</v>
      </c>
      <c r="C9" s="159" t="s">
        <v>61</v>
      </c>
      <c r="D9" s="159">
        <v>32</v>
      </c>
      <c r="E9" s="159">
        <v>1.8</v>
      </c>
      <c r="F9" s="159">
        <v>2.2000000000000002</v>
      </c>
      <c r="G9" s="159">
        <v>0</v>
      </c>
      <c r="H9" s="159">
        <v>0</v>
      </c>
      <c r="I9" s="160">
        <f t="shared" si="0"/>
        <v>0</v>
      </c>
      <c r="J9" s="159">
        <v>0</v>
      </c>
      <c r="K9" s="160">
        <f t="shared" si="1"/>
        <v>0</v>
      </c>
      <c r="L9" s="159" t="s">
        <v>53</v>
      </c>
      <c r="M9" s="161" t="s">
        <v>57</v>
      </c>
    </row>
    <row r="10" spans="1:13" ht="122.5" x14ac:dyDescent="0.45">
      <c r="A10" s="158" t="s">
        <v>59</v>
      </c>
      <c r="B10" s="159" t="s">
        <v>62</v>
      </c>
      <c r="C10" s="159" t="s">
        <v>61</v>
      </c>
      <c r="D10" s="159">
        <v>20</v>
      </c>
      <c r="E10" s="159">
        <v>4.2</v>
      </c>
      <c r="F10" s="159">
        <v>5.3</v>
      </c>
      <c r="G10" s="159">
        <v>0</v>
      </c>
      <c r="H10" s="159">
        <v>0</v>
      </c>
      <c r="I10" s="160">
        <f t="shared" si="0"/>
        <v>0</v>
      </c>
      <c r="J10" s="159">
        <v>0</v>
      </c>
      <c r="K10" s="160">
        <f t="shared" si="1"/>
        <v>0</v>
      </c>
      <c r="L10" s="159" t="s">
        <v>53</v>
      </c>
      <c r="M10" s="161" t="s">
        <v>57</v>
      </c>
    </row>
    <row r="11" spans="1:13" ht="122.5" x14ac:dyDescent="0.45">
      <c r="A11" s="158" t="s">
        <v>59</v>
      </c>
      <c r="B11" s="159" t="s">
        <v>63</v>
      </c>
      <c r="C11" s="159" t="s">
        <v>61</v>
      </c>
      <c r="D11" s="159">
        <v>20</v>
      </c>
      <c r="E11" s="159">
        <v>5.0999999999999996</v>
      </c>
      <c r="F11" s="159">
        <v>5.4</v>
      </c>
      <c r="G11" s="159">
        <v>0</v>
      </c>
      <c r="H11" s="159">
        <v>0</v>
      </c>
      <c r="I11" s="160">
        <f t="shared" si="0"/>
        <v>0</v>
      </c>
      <c r="J11" s="159">
        <v>0</v>
      </c>
      <c r="K11" s="160">
        <f t="shared" si="1"/>
        <v>0</v>
      </c>
      <c r="L11" s="159" t="s">
        <v>53</v>
      </c>
      <c r="M11" s="161" t="s">
        <v>54</v>
      </c>
    </row>
    <row r="12" spans="1:13" ht="122.5" x14ac:dyDescent="0.45">
      <c r="A12" s="158" t="s">
        <v>64</v>
      </c>
      <c r="B12" s="159" t="s">
        <v>65</v>
      </c>
      <c r="C12" s="159" t="s">
        <v>66</v>
      </c>
      <c r="D12" s="159">
        <v>25</v>
      </c>
      <c r="E12" s="159">
        <v>5.5</v>
      </c>
      <c r="F12" s="159">
        <v>5.5</v>
      </c>
      <c r="G12" s="159">
        <v>0</v>
      </c>
      <c r="H12" s="159">
        <v>0</v>
      </c>
      <c r="I12" s="160">
        <f t="shared" si="0"/>
        <v>0</v>
      </c>
      <c r="J12" s="159">
        <v>0</v>
      </c>
      <c r="K12" s="160">
        <f t="shared" si="1"/>
        <v>0</v>
      </c>
      <c r="L12" s="159" t="s">
        <v>53</v>
      </c>
      <c r="M12" s="161" t="s">
        <v>57</v>
      </c>
    </row>
    <row r="13" spans="1:13" ht="122.5" x14ac:dyDescent="0.45">
      <c r="A13" s="158" t="s">
        <v>64</v>
      </c>
      <c r="B13" s="159" t="s">
        <v>65</v>
      </c>
      <c r="C13" s="159" t="s">
        <v>66</v>
      </c>
      <c r="D13" s="159">
        <v>30</v>
      </c>
      <c r="E13" s="159">
        <v>5.5</v>
      </c>
      <c r="F13" s="159">
        <v>11</v>
      </c>
      <c r="G13" s="159">
        <v>0</v>
      </c>
      <c r="H13" s="159">
        <v>0</v>
      </c>
      <c r="I13" s="160">
        <f t="shared" si="0"/>
        <v>0</v>
      </c>
      <c r="J13" s="159">
        <v>0</v>
      </c>
      <c r="K13" s="160">
        <f t="shared" si="1"/>
        <v>0</v>
      </c>
      <c r="L13" s="159" t="s">
        <v>53</v>
      </c>
      <c r="M13" s="161" t="s">
        <v>57</v>
      </c>
    </row>
    <row r="14" spans="1:13" ht="52.5" x14ac:dyDescent="0.45">
      <c r="A14" s="158" t="s">
        <v>59</v>
      </c>
      <c r="B14" s="159" t="s">
        <v>122</v>
      </c>
      <c r="C14" s="159" t="s">
        <v>61</v>
      </c>
      <c r="D14" s="159">
        <v>32</v>
      </c>
      <c r="E14" s="159">
        <v>35</v>
      </c>
      <c r="F14" s="159">
        <v>42</v>
      </c>
      <c r="G14" s="159">
        <v>0</v>
      </c>
      <c r="H14" s="159">
        <v>0</v>
      </c>
      <c r="I14" s="160">
        <f t="shared" si="0"/>
        <v>0</v>
      </c>
      <c r="J14" s="159">
        <v>0</v>
      </c>
      <c r="K14" s="160">
        <f t="shared" si="1"/>
        <v>0</v>
      </c>
      <c r="L14" s="159" t="s">
        <v>53</v>
      </c>
      <c r="M14" s="161" t="s">
        <v>57</v>
      </c>
    </row>
    <row r="15" spans="1:13" ht="70" x14ac:dyDescent="0.45">
      <c r="A15" s="158" t="s">
        <v>64</v>
      </c>
      <c r="B15" s="159" t="s">
        <v>68</v>
      </c>
      <c r="C15" s="159" t="s">
        <v>66</v>
      </c>
      <c r="D15" s="159">
        <v>25</v>
      </c>
      <c r="E15" s="159">
        <v>35.5</v>
      </c>
      <c r="F15" s="159">
        <v>42</v>
      </c>
      <c r="G15" s="159">
        <v>0</v>
      </c>
      <c r="H15" s="159">
        <v>0</v>
      </c>
      <c r="I15" s="160">
        <f t="shared" si="0"/>
        <v>0</v>
      </c>
      <c r="J15" s="159">
        <v>0</v>
      </c>
      <c r="K15" s="160">
        <f t="shared" si="1"/>
        <v>0</v>
      </c>
      <c r="L15" s="159" t="s">
        <v>53</v>
      </c>
      <c r="M15" s="161" t="s">
        <v>54</v>
      </c>
    </row>
    <row r="16" spans="1:13" ht="122.5" x14ac:dyDescent="0.45">
      <c r="A16" s="158" t="s">
        <v>64</v>
      </c>
      <c r="B16" s="159" t="s">
        <v>65</v>
      </c>
      <c r="C16" s="159" t="s">
        <v>66</v>
      </c>
      <c r="D16" s="159">
        <v>160</v>
      </c>
      <c r="E16" s="159">
        <v>33.4</v>
      </c>
      <c r="F16" s="159">
        <v>44</v>
      </c>
      <c r="G16" s="159">
        <v>0</v>
      </c>
      <c r="H16" s="159">
        <v>0</v>
      </c>
      <c r="I16" s="160">
        <f t="shared" si="0"/>
        <v>0</v>
      </c>
      <c r="J16" s="159">
        <v>0</v>
      </c>
      <c r="K16" s="160">
        <f t="shared" si="1"/>
        <v>0</v>
      </c>
      <c r="L16" s="159" t="s">
        <v>53</v>
      </c>
      <c r="M16" s="161" t="s">
        <v>57</v>
      </c>
    </row>
    <row r="17" spans="1:13" ht="70" x14ac:dyDescent="0.45">
      <c r="A17" s="158" t="s">
        <v>59</v>
      </c>
      <c r="B17" s="159" t="s">
        <v>68</v>
      </c>
      <c r="C17" s="159" t="s">
        <v>61</v>
      </c>
      <c r="D17" s="159">
        <v>30</v>
      </c>
      <c r="E17" s="159">
        <v>42</v>
      </c>
      <c r="F17" s="159">
        <v>52.2</v>
      </c>
      <c r="G17" s="159">
        <v>0</v>
      </c>
      <c r="H17" s="159">
        <v>0</v>
      </c>
      <c r="I17" s="160">
        <f t="shared" si="0"/>
        <v>0</v>
      </c>
      <c r="J17" s="159">
        <v>0</v>
      </c>
      <c r="K17" s="160">
        <f t="shared" si="1"/>
        <v>0</v>
      </c>
      <c r="L17" s="159" t="s">
        <v>53</v>
      </c>
      <c r="M17" s="161" t="s">
        <v>54</v>
      </c>
    </row>
    <row r="18" spans="1:13" ht="70" x14ac:dyDescent="0.45">
      <c r="A18" s="158" t="s">
        <v>59</v>
      </c>
      <c r="B18" s="159" t="s">
        <v>69</v>
      </c>
      <c r="C18" s="159" t="s">
        <v>61</v>
      </c>
      <c r="D18" s="159">
        <v>300</v>
      </c>
      <c r="E18" s="159">
        <v>59.6</v>
      </c>
      <c r="F18" s="159">
        <v>71.599999999999994</v>
      </c>
      <c r="G18" s="159">
        <v>0</v>
      </c>
      <c r="H18" s="159">
        <v>0</v>
      </c>
      <c r="I18" s="160">
        <f t="shared" si="0"/>
        <v>0</v>
      </c>
      <c r="J18" s="159">
        <v>0</v>
      </c>
      <c r="K18" s="160">
        <f t="shared" si="1"/>
        <v>0</v>
      </c>
      <c r="L18" s="159" t="s">
        <v>53</v>
      </c>
      <c r="M18" s="161" t="s">
        <v>54</v>
      </c>
    </row>
    <row r="19" spans="1:13" ht="70" x14ac:dyDescent="0.45">
      <c r="A19" s="158" t="s">
        <v>59</v>
      </c>
      <c r="B19" s="159" t="s">
        <v>68</v>
      </c>
      <c r="C19" s="159" t="s">
        <v>61</v>
      </c>
      <c r="D19" s="159">
        <v>160</v>
      </c>
      <c r="E19" s="159">
        <v>188.2</v>
      </c>
      <c r="F19" s="159">
        <v>226.9</v>
      </c>
      <c r="G19" s="159">
        <v>0</v>
      </c>
      <c r="H19" s="159">
        <v>0</v>
      </c>
      <c r="I19" s="160">
        <f t="shared" si="0"/>
        <v>0</v>
      </c>
      <c r="J19" s="159">
        <v>0</v>
      </c>
      <c r="K19" s="160">
        <f t="shared" si="1"/>
        <v>0</v>
      </c>
      <c r="L19" s="159" t="s">
        <v>53</v>
      </c>
      <c r="M19" s="161" t="s">
        <v>54</v>
      </c>
    </row>
    <row r="20" spans="1:13" ht="52.5" x14ac:dyDescent="0.45">
      <c r="A20" s="158" t="s">
        <v>70</v>
      </c>
      <c r="B20" s="159" t="s">
        <v>60</v>
      </c>
      <c r="C20" s="159" t="s">
        <v>71</v>
      </c>
      <c r="D20" s="159">
        <v>25</v>
      </c>
      <c r="E20" s="159">
        <v>1.4</v>
      </c>
      <c r="F20" s="159">
        <v>296</v>
      </c>
      <c r="G20" s="159">
        <v>60</v>
      </c>
      <c r="H20" s="159">
        <v>1.02</v>
      </c>
      <c r="I20" s="162">
        <f t="shared" si="0"/>
        <v>85.68</v>
      </c>
      <c r="J20" s="159">
        <v>1.1000000000000001</v>
      </c>
      <c r="K20" s="160">
        <f t="shared" si="1"/>
        <v>92.4</v>
      </c>
      <c r="L20" s="159" t="s">
        <v>53</v>
      </c>
      <c r="M20" s="161" t="s">
        <v>54</v>
      </c>
    </row>
    <row r="21" spans="1:13" ht="70" x14ac:dyDescent="0.45">
      <c r="A21" s="158" t="s">
        <v>72</v>
      </c>
      <c r="B21" s="159" t="s">
        <v>73</v>
      </c>
      <c r="C21" s="159" t="s">
        <v>74</v>
      </c>
      <c r="D21" s="159">
        <v>250</v>
      </c>
      <c r="E21" s="159">
        <v>13.9</v>
      </c>
      <c r="F21" s="159">
        <v>388.1</v>
      </c>
      <c r="G21" s="159">
        <v>16</v>
      </c>
      <c r="H21" s="159">
        <v>3.5</v>
      </c>
      <c r="I21" s="162">
        <f t="shared" si="0"/>
        <v>778.4</v>
      </c>
      <c r="J21" s="159">
        <v>0</v>
      </c>
      <c r="K21" s="160">
        <f t="shared" si="1"/>
        <v>0</v>
      </c>
      <c r="L21" s="159" t="s">
        <v>53</v>
      </c>
      <c r="M21" s="161" t="s">
        <v>54</v>
      </c>
    </row>
    <row r="22" spans="1:13" ht="122.5" x14ac:dyDescent="0.45">
      <c r="A22" s="158" t="s">
        <v>75</v>
      </c>
      <c r="B22" s="159" t="s">
        <v>65</v>
      </c>
      <c r="C22" s="159" t="s">
        <v>76</v>
      </c>
      <c r="D22" s="159">
        <v>100</v>
      </c>
      <c r="E22" s="159">
        <v>22</v>
      </c>
      <c r="F22" s="159">
        <v>883.1</v>
      </c>
      <c r="G22" s="159">
        <v>33</v>
      </c>
      <c r="H22" s="159">
        <v>1.5</v>
      </c>
      <c r="I22" s="160">
        <f t="shared" si="0"/>
        <v>1089</v>
      </c>
      <c r="J22" s="159">
        <v>0</v>
      </c>
      <c r="K22" s="160">
        <f t="shared" si="1"/>
        <v>0</v>
      </c>
      <c r="L22" s="159" t="s">
        <v>53</v>
      </c>
      <c r="M22" s="161" t="s">
        <v>57</v>
      </c>
    </row>
    <row r="23" spans="1:13" ht="52.5" x14ac:dyDescent="0.45">
      <c r="A23" s="158" t="s">
        <v>72</v>
      </c>
      <c r="B23" s="159" t="s">
        <v>77</v>
      </c>
      <c r="C23" s="159" t="s">
        <v>74</v>
      </c>
      <c r="D23" s="159">
        <v>140</v>
      </c>
      <c r="E23" s="159">
        <v>37.6</v>
      </c>
      <c r="F23" s="159">
        <v>1051.9000000000001</v>
      </c>
      <c r="G23" s="159">
        <v>16</v>
      </c>
      <c r="H23" s="159">
        <v>3.5</v>
      </c>
      <c r="I23" s="160">
        <f t="shared" si="0"/>
        <v>2105.6</v>
      </c>
      <c r="J23" s="159">
        <v>0</v>
      </c>
      <c r="K23" s="160">
        <f t="shared" si="1"/>
        <v>0</v>
      </c>
      <c r="L23" s="159" t="s">
        <v>53</v>
      </c>
      <c r="M23" s="161" t="s">
        <v>54</v>
      </c>
    </row>
    <row r="24" spans="1:13" ht="52.5" x14ac:dyDescent="0.45">
      <c r="A24" s="158" t="s">
        <v>78</v>
      </c>
      <c r="B24" s="159" t="s">
        <v>60</v>
      </c>
      <c r="C24" s="159" t="s">
        <v>26</v>
      </c>
      <c r="D24" s="159">
        <v>28</v>
      </c>
      <c r="E24" s="159">
        <v>1.6</v>
      </c>
      <c r="F24" s="159">
        <v>1160.5999999999999</v>
      </c>
      <c r="G24" s="159">
        <v>474</v>
      </c>
      <c r="H24" s="159">
        <v>0.09</v>
      </c>
      <c r="I24" s="162">
        <f t="shared" si="0"/>
        <v>68.256</v>
      </c>
      <c r="J24" s="159">
        <v>1.6</v>
      </c>
      <c r="K24" s="160">
        <f t="shared" si="1"/>
        <v>1213.4400000000003</v>
      </c>
      <c r="L24" s="159" t="s">
        <v>53</v>
      </c>
      <c r="M24" s="161" t="s">
        <v>57</v>
      </c>
    </row>
    <row r="25" spans="1:13" ht="52.5" x14ac:dyDescent="0.45">
      <c r="A25" s="158" t="s">
        <v>79</v>
      </c>
      <c r="B25" s="159" t="s">
        <v>80</v>
      </c>
      <c r="C25" s="159" t="s">
        <v>15</v>
      </c>
      <c r="D25" s="159">
        <v>15</v>
      </c>
      <c r="E25" s="159">
        <v>1.8</v>
      </c>
      <c r="F25" s="159">
        <v>1403.6</v>
      </c>
      <c r="G25" s="159">
        <v>875</v>
      </c>
      <c r="H25" s="159">
        <v>0.28000000000000003</v>
      </c>
      <c r="I25" s="162">
        <f t="shared" si="0"/>
        <v>441.00000000000006</v>
      </c>
      <c r="J25" s="159">
        <v>0</v>
      </c>
      <c r="K25" s="160">
        <f t="shared" si="1"/>
        <v>0</v>
      </c>
      <c r="L25" s="159" t="s">
        <v>53</v>
      </c>
      <c r="M25" s="161" t="s">
        <v>54</v>
      </c>
    </row>
    <row r="26" spans="1:13" ht="52.5" x14ac:dyDescent="0.45">
      <c r="A26" s="158" t="s">
        <v>79</v>
      </c>
      <c r="B26" s="159" t="s">
        <v>80</v>
      </c>
      <c r="C26" s="159" t="s">
        <v>15</v>
      </c>
      <c r="D26" s="159">
        <v>15</v>
      </c>
      <c r="E26" s="159">
        <v>1.8</v>
      </c>
      <c r="F26" s="159">
        <v>1513.7</v>
      </c>
      <c r="G26" s="159">
        <v>875</v>
      </c>
      <c r="H26" s="159">
        <v>0.28000000000000003</v>
      </c>
      <c r="I26" s="162">
        <f t="shared" si="0"/>
        <v>441.00000000000006</v>
      </c>
      <c r="J26" s="159">
        <v>0</v>
      </c>
      <c r="K26" s="160">
        <f t="shared" si="1"/>
        <v>0</v>
      </c>
      <c r="L26" s="159" t="s">
        <v>53</v>
      </c>
      <c r="M26" s="161" t="s">
        <v>57</v>
      </c>
    </row>
    <row r="27" spans="1:13" ht="52.5" x14ac:dyDescent="0.45">
      <c r="A27" s="158" t="s">
        <v>81</v>
      </c>
      <c r="B27" s="159" t="s">
        <v>167</v>
      </c>
      <c r="C27" s="159" t="s">
        <v>18</v>
      </c>
      <c r="D27" s="159">
        <v>5</v>
      </c>
      <c r="E27" s="159">
        <v>0</v>
      </c>
      <c r="F27" s="159">
        <v>1523.5</v>
      </c>
      <c r="G27" s="159">
        <v>1620</v>
      </c>
      <c r="H27" s="159">
        <v>0.16</v>
      </c>
      <c r="I27" s="160">
        <f t="shared" si="0"/>
        <v>0</v>
      </c>
      <c r="J27" s="159">
        <v>0</v>
      </c>
      <c r="K27" s="160">
        <f t="shared" si="1"/>
        <v>0</v>
      </c>
      <c r="L27" s="159" t="s">
        <v>53</v>
      </c>
      <c r="M27" s="161" t="s">
        <v>83</v>
      </c>
    </row>
    <row r="28" spans="1:13" ht="122.5" x14ac:dyDescent="0.45">
      <c r="A28" s="158" t="s">
        <v>79</v>
      </c>
      <c r="B28" s="159" t="s">
        <v>62</v>
      </c>
      <c r="C28" s="159" t="s">
        <v>15</v>
      </c>
      <c r="D28" s="159">
        <v>15</v>
      </c>
      <c r="E28" s="159">
        <v>3</v>
      </c>
      <c r="F28" s="159">
        <v>2582.4</v>
      </c>
      <c r="G28" s="159">
        <v>875</v>
      </c>
      <c r="H28" s="159">
        <v>0.28000000000000003</v>
      </c>
      <c r="I28" s="162">
        <f t="shared" si="0"/>
        <v>735.00000000000011</v>
      </c>
      <c r="J28" s="159">
        <v>0</v>
      </c>
      <c r="K28" s="160">
        <f t="shared" si="1"/>
        <v>0</v>
      </c>
      <c r="L28" s="159" t="s">
        <v>53</v>
      </c>
      <c r="M28" s="161" t="s">
        <v>54</v>
      </c>
    </row>
    <row r="29" spans="1:13" ht="122.5" x14ac:dyDescent="0.45">
      <c r="A29" s="158" t="s">
        <v>79</v>
      </c>
      <c r="B29" s="159" t="s">
        <v>65</v>
      </c>
      <c r="C29" s="159" t="s">
        <v>15</v>
      </c>
      <c r="D29" s="159">
        <v>13</v>
      </c>
      <c r="E29" s="159">
        <v>5.5</v>
      </c>
      <c r="F29" s="159">
        <v>2798</v>
      </c>
      <c r="G29" s="159">
        <v>875</v>
      </c>
      <c r="H29" s="159">
        <v>0.28000000000000003</v>
      </c>
      <c r="I29" s="160">
        <f t="shared" si="0"/>
        <v>1347.5000000000002</v>
      </c>
      <c r="J29" s="159">
        <v>0</v>
      </c>
      <c r="K29" s="160">
        <f t="shared" si="1"/>
        <v>0</v>
      </c>
      <c r="L29" s="159" t="s">
        <v>53</v>
      </c>
      <c r="M29" s="161" t="s">
        <v>57</v>
      </c>
    </row>
    <row r="30" spans="1:13" ht="52.5" x14ac:dyDescent="0.45">
      <c r="A30" s="158" t="s">
        <v>72</v>
      </c>
      <c r="B30" s="159" t="s">
        <v>84</v>
      </c>
      <c r="C30" s="159" t="s">
        <v>74</v>
      </c>
      <c r="D30" s="159">
        <v>300</v>
      </c>
      <c r="E30" s="159">
        <v>104.5</v>
      </c>
      <c r="F30" s="159">
        <v>2917.9</v>
      </c>
      <c r="G30" s="159">
        <v>16</v>
      </c>
      <c r="H30" s="159">
        <v>3.5</v>
      </c>
      <c r="I30" s="160">
        <f t="shared" si="0"/>
        <v>5852</v>
      </c>
      <c r="J30" s="159">
        <v>0</v>
      </c>
      <c r="K30" s="160">
        <f t="shared" si="1"/>
        <v>0</v>
      </c>
      <c r="L30" s="159" t="s">
        <v>53</v>
      </c>
      <c r="M30" s="161" t="s">
        <v>54</v>
      </c>
    </row>
    <row r="31" spans="1:13" ht="175" x14ac:dyDescent="0.45">
      <c r="A31" s="158" t="s">
        <v>79</v>
      </c>
      <c r="B31" s="159" t="s">
        <v>85</v>
      </c>
      <c r="C31" s="159" t="s">
        <v>15</v>
      </c>
      <c r="D31" s="159">
        <v>15</v>
      </c>
      <c r="E31" s="159">
        <v>3.5</v>
      </c>
      <c r="F31" s="159">
        <v>3191.2</v>
      </c>
      <c r="G31" s="159">
        <v>875</v>
      </c>
      <c r="H31" s="159">
        <v>0.28000000000000003</v>
      </c>
      <c r="I31" s="160">
        <f t="shared" si="0"/>
        <v>857.50000000000011</v>
      </c>
      <c r="J31" s="159">
        <v>0</v>
      </c>
      <c r="K31" s="160">
        <f t="shared" si="1"/>
        <v>0</v>
      </c>
      <c r="L31" s="159" t="s">
        <v>53</v>
      </c>
      <c r="M31" s="161" t="s">
        <v>54</v>
      </c>
    </row>
    <row r="32" spans="1:13" ht="175" x14ac:dyDescent="0.45">
      <c r="A32" s="158" t="s">
        <v>79</v>
      </c>
      <c r="B32" s="159" t="s">
        <v>85</v>
      </c>
      <c r="C32" s="159" t="s">
        <v>15</v>
      </c>
      <c r="D32" s="159">
        <v>15</v>
      </c>
      <c r="E32" s="159">
        <v>3.5</v>
      </c>
      <c r="F32" s="159">
        <v>3583.7</v>
      </c>
      <c r="G32" s="159">
        <v>875</v>
      </c>
      <c r="H32" s="159">
        <v>0.28000000000000003</v>
      </c>
      <c r="I32" s="162">
        <f t="shared" si="0"/>
        <v>857.50000000000011</v>
      </c>
      <c r="J32" s="159">
        <v>0</v>
      </c>
      <c r="K32" s="160">
        <f t="shared" si="1"/>
        <v>0</v>
      </c>
      <c r="L32" s="159" t="s">
        <v>53</v>
      </c>
      <c r="M32" s="161" t="s">
        <v>57</v>
      </c>
    </row>
    <row r="33" spans="1:13" ht="122.5" x14ac:dyDescent="0.45">
      <c r="A33" s="158" t="s">
        <v>86</v>
      </c>
      <c r="B33" s="159" t="s">
        <v>65</v>
      </c>
      <c r="C33" s="159" t="s">
        <v>87</v>
      </c>
      <c r="D33" s="159">
        <v>18</v>
      </c>
      <c r="E33" s="159">
        <v>5.5</v>
      </c>
      <c r="F33" s="159">
        <v>3838</v>
      </c>
      <c r="G33" s="159">
        <v>610</v>
      </c>
      <c r="H33" s="159">
        <v>0.42</v>
      </c>
      <c r="I33" s="160">
        <f t="shared" si="0"/>
        <v>1409.1</v>
      </c>
      <c r="J33" s="159">
        <v>1.5</v>
      </c>
      <c r="K33" s="160">
        <f t="shared" si="1"/>
        <v>5032.5</v>
      </c>
      <c r="L33" s="159" t="s">
        <v>53</v>
      </c>
      <c r="M33" s="161" t="s">
        <v>57</v>
      </c>
    </row>
    <row r="34" spans="1:13" ht="122.5" x14ac:dyDescent="0.45">
      <c r="A34" s="158" t="s">
        <v>50</v>
      </c>
      <c r="B34" s="159" t="s">
        <v>65</v>
      </c>
      <c r="C34" s="159" t="s">
        <v>52</v>
      </c>
      <c r="D34" s="159">
        <v>30</v>
      </c>
      <c r="E34" s="159">
        <v>5.5</v>
      </c>
      <c r="F34" s="159">
        <v>3996.8</v>
      </c>
      <c r="G34" s="159">
        <v>61</v>
      </c>
      <c r="H34" s="159">
        <v>1.5</v>
      </c>
      <c r="I34" s="162">
        <f t="shared" si="0"/>
        <v>503.25</v>
      </c>
      <c r="J34" s="159">
        <v>0</v>
      </c>
      <c r="K34" s="160">
        <f t="shared" si="1"/>
        <v>0</v>
      </c>
      <c r="L34" s="159" t="s">
        <v>53</v>
      </c>
      <c r="M34" s="161" t="s">
        <v>57</v>
      </c>
    </row>
    <row r="35" spans="1:13" ht="122.5" x14ac:dyDescent="0.45">
      <c r="A35" s="158" t="s">
        <v>50</v>
      </c>
      <c r="B35" s="159" t="s">
        <v>88</v>
      </c>
      <c r="C35" s="159" t="s">
        <v>52</v>
      </c>
      <c r="D35" s="159">
        <v>140</v>
      </c>
      <c r="E35" s="159">
        <v>8.3000000000000007</v>
      </c>
      <c r="F35" s="159">
        <v>4163.8</v>
      </c>
      <c r="G35" s="159">
        <v>61</v>
      </c>
      <c r="H35" s="159">
        <v>1.5</v>
      </c>
      <c r="I35" s="162">
        <f t="shared" si="0"/>
        <v>759.45</v>
      </c>
      <c r="J35" s="159">
        <v>0</v>
      </c>
      <c r="K35" s="160">
        <f t="shared" si="1"/>
        <v>0</v>
      </c>
      <c r="L35" s="159" t="s">
        <v>53</v>
      </c>
      <c r="M35" s="161" t="s">
        <v>54</v>
      </c>
    </row>
    <row r="36" spans="1:13" ht="87.5" x14ac:dyDescent="0.45">
      <c r="A36" s="158" t="s">
        <v>75</v>
      </c>
      <c r="B36" s="159" t="s">
        <v>68</v>
      </c>
      <c r="C36" s="159" t="s">
        <v>76</v>
      </c>
      <c r="D36" s="159">
        <v>100</v>
      </c>
      <c r="E36" s="159">
        <v>118.3</v>
      </c>
      <c r="F36" s="159">
        <v>4717.8</v>
      </c>
      <c r="G36" s="159">
        <v>33</v>
      </c>
      <c r="H36" s="159">
        <v>1.5</v>
      </c>
      <c r="I36" s="160">
        <f t="shared" si="0"/>
        <v>5855.85</v>
      </c>
      <c r="J36" s="159">
        <v>0</v>
      </c>
      <c r="K36" s="160">
        <f t="shared" si="1"/>
        <v>0</v>
      </c>
      <c r="L36" s="159" t="s">
        <v>53</v>
      </c>
      <c r="M36" s="161" t="s">
        <v>54</v>
      </c>
    </row>
    <row r="37" spans="1:13" ht="122.5" x14ac:dyDescent="0.45">
      <c r="A37" s="158" t="s">
        <v>79</v>
      </c>
      <c r="B37" s="159" t="s">
        <v>62</v>
      </c>
      <c r="C37" s="159" t="s">
        <v>15</v>
      </c>
      <c r="D37" s="159">
        <v>15</v>
      </c>
      <c r="E37" s="159">
        <v>6</v>
      </c>
      <c r="F37" s="159">
        <v>5815.3</v>
      </c>
      <c r="G37" s="159">
        <v>875</v>
      </c>
      <c r="H37" s="159">
        <v>0.28000000000000003</v>
      </c>
      <c r="I37" s="160">
        <f t="shared" si="0"/>
        <v>1470.0000000000002</v>
      </c>
      <c r="J37" s="159">
        <v>0</v>
      </c>
      <c r="K37" s="160">
        <f t="shared" si="1"/>
        <v>0</v>
      </c>
      <c r="L37" s="159" t="s">
        <v>53</v>
      </c>
      <c r="M37" s="161" t="s">
        <v>57</v>
      </c>
    </row>
    <row r="38" spans="1:13" ht="52.5" x14ac:dyDescent="0.45">
      <c r="A38" s="158" t="s">
        <v>89</v>
      </c>
      <c r="B38" s="159" t="s">
        <v>80</v>
      </c>
      <c r="C38" s="159" t="s">
        <v>20</v>
      </c>
      <c r="D38" s="159">
        <v>80</v>
      </c>
      <c r="E38" s="159">
        <v>8.6</v>
      </c>
      <c r="F38" s="159">
        <v>6086.4</v>
      </c>
      <c r="G38" s="159">
        <v>470</v>
      </c>
      <c r="H38" s="159">
        <v>0.2</v>
      </c>
      <c r="I38" s="162">
        <f t="shared" ref="I38:I69" si="2">(G38*E38)*H38</f>
        <v>808.40000000000009</v>
      </c>
      <c r="J38" s="159">
        <v>1.6</v>
      </c>
      <c r="K38" s="160">
        <f t="shared" ref="K38:K69" si="3">(G38*E38)*J38</f>
        <v>6467.2000000000007</v>
      </c>
      <c r="L38" s="159" t="s">
        <v>53</v>
      </c>
      <c r="M38" s="161" t="s">
        <v>54</v>
      </c>
    </row>
    <row r="39" spans="1:13" ht="52.5" x14ac:dyDescent="0.45">
      <c r="A39" s="158" t="s">
        <v>90</v>
      </c>
      <c r="B39" s="159" t="s">
        <v>91</v>
      </c>
      <c r="C39" s="159" t="s">
        <v>22</v>
      </c>
      <c r="D39" s="159">
        <v>25</v>
      </c>
      <c r="E39" s="159">
        <v>14.8</v>
      </c>
      <c r="F39" s="159">
        <v>7424.4</v>
      </c>
      <c r="G39" s="159">
        <v>474</v>
      </c>
      <c r="H39" s="159">
        <v>0.09</v>
      </c>
      <c r="I39" s="162">
        <f t="shared" si="2"/>
        <v>631.36800000000005</v>
      </c>
      <c r="J39" s="159">
        <v>1.6</v>
      </c>
      <c r="K39" s="160">
        <f t="shared" si="3"/>
        <v>11224.320000000002</v>
      </c>
      <c r="L39" s="159" t="s">
        <v>53</v>
      </c>
      <c r="M39" s="161" t="s">
        <v>54</v>
      </c>
    </row>
    <row r="40" spans="1:13" ht="87.5" x14ac:dyDescent="0.45">
      <c r="A40" s="158" t="s">
        <v>75</v>
      </c>
      <c r="B40" s="159" t="s">
        <v>92</v>
      </c>
      <c r="C40" s="159" t="s">
        <v>76</v>
      </c>
      <c r="D40" s="159">
        <v>450</v>
      </c>
      <c r="E40" s="159">
        <v>194.7</v>
      </c>
      <c r="F40" s="159">
        <v>7787.1</v>
      </c>
      <c r="G40" s="159">
        <v>33</v>
      </c>
      <c r="H40" s="159">
        <v>1.5</v>
      </c>
      <c r="I40" s="160">
        <f t="shared" si="2"/>
        <v>9637.65</v>
      </c>
      <c r="J40" s="159">
        <v>0</v>
      </c>
      <c r="K40" s="160">
        <f t="shared" si="3"/>
        <v>0</v>
      </c>
      <c r="L40" s="159" t="s">
        <v>53</v>
      </c>
      <c r="M40" s="161" t="s">
        <v>57</v>
      </c>
    </row>
    <row r="41" spans="1:13" ht="122.5" x14ac:dyDescent="0.45">
      <c r="A41" s="158" t="s">
        <v>50</v>
      </c>
      <c r="B41" s="159" t="s">
        <v>63</v>
      </c>
      <c r="C41" s="159" t="s">
        <v>52</v>
      </c>
      <c r="D41" s="159">
        <v>68</v>
      </c>
      <c r="E41" s="159">
        <v>16.600000000000001</v>
      </c>
      <c r="F41" s="159">
        <v>8027.3</v>
      </c>
      <c r="G41" s="159">
        <v>61</v>
      </c>
      <c r="H41" s="159">
        <v>1.5</v>
      </c>
      <c r="I41" s="160">
        <f t="shared" si="2"/>
        <v>1518.9</v>
      </c>
      <c r="J41" s="159">
        <v>0</v>
      </c>
      <c r="K41" s="160">
        <f t="shared" si="3"/>
        <v>0</v>
      </c>
      <c r="L41" s="159" t="s">
        <v>53</v>
      </c>
      <c r="M41" s="161" t="s">
        <v>54</v>
      </c>
    </row>
    <row r="42" spans="1:13" ht="157.5" x14ac:dyDescent="0.45">
      <c r="A42" s="158" t="s">
        <v>79</v>
      </c>
      <c r="B42" s="159" t="s">
        <v>93</v>
      </c>
      <c r="C42" s="159" t="s">
        <v>15</v>
      </c>
      <c r="D42" s="159">
        <v>15</v>
      </c>
      <c r="E42" s="159">
        <v>7</v>
      </c>
      <c r="F42" s="159">
        <v>8146.8</v>
      </c>
      <c r="G42" s="159">
        <v>875</v>
      </c>
      <c r="H42" s="159">
        <v>0.28000000000000003</v>
      </c>
      <c r="I42" s="160">
        <f t="shared" si="2"/>
        <v>1715.0000000000002</v>
      </c>
      <c r="J42" s="159">
        <v>0</v>
      </c>
      <c r="K42" s="160">
        <f t="shared" si="3"/>
        <v>0</v>
      </c>
      <c r="L42" s="159" t="s">
        <v>53</v>
      </c>
      <c r="M42" s="161" t="s">
        <v>57</v>
      </c>
    </row>
    <row r="43" spans="1:13" ht="122.5" x14ac:dyDescent="0.45">
      <c r="A43" s="158" t="s">
        <v>79</v>
      </c>
      <c r="B43" s="159" t="s">
        <v>63</v>
      </c>
      <c r="C43" s="159" t="s">
        <v>15</v>
      </c>
      <c r="D43" s="159">
        <v>15</v>
      </c>
      <c r="E43" s="159">
        <v>8.3000000000000007</v>
      </c>
      <c r="F43" s="159">
        <v>8365.4</v>
      </c>
      <c r="G43" s="159">
        <v>875</v>
      </c>
      <c r="H43" s="159">
        <v>0.28000000000000003</v>
      </c>
      <c r="I43" s="160">
        <f t="shared" si="2"/>
        <v>2033.5000000000005</v>
      </c>
      <c r="J43" s="159">
        <v>0</v>
      </c>
      <c r="K43" s="160">
        <f t="shared" si="3"/>
        <v>0</v>
      </c>
      <c r="L43" s="159" t="s">
        <v>53</v>
      </c>
      <c r="M43" s="161" t="s">
        <v>57</v>
      </c>
    </row>
    <row r="44" spans="1:13" ht="52.5" x14ac:dyDescent="0.45">
      <c r="A44" s="158" t="s">
        <v>94</v>
      </c>
      <c r="B44" s="159" t="s">
        <v>91</v>
      </c>
      <c r="C44" s="159" t="s">
        <v>28</v>
      </c>
      <c r="D44" s="159">
        <v>1</v>
      </c>
      <c r="E44" s="159">
        <f>1.2/2</f>
        <v>0.6</v>
      </c>
      <c r="F44" s="159">
        <v>8553</v>
      </c>
      <c r="G44" s="159">
        <v>7850</v>
      </c>
      <c r="H44" s="159">
        <v>3.1</v>
      </c>
      <c r="I44" s="160">
        <f t="shared" si="2"/>
        <v>14601</v>
      </c>
      <c r="J44" s="159">
        <v>0</v>
      </c>
      <c r="K44" s="160">
        <f t="shared" si="3"/>
        <v>0</v>
      </c>
      <c r="L44" s="159" t="s">
        <v>53</v>
      </c>
      <c r="M44" s="161" t="s">
        <v>54</v>
      </c>
    </row>
    <row r="45" spans="1:13" ht="70" x14ac:dyDescent="0.45">
      <c r="A45" s="158" t="s">
        <v>79</v>
      </c>
      <c r="B45" s="159" t="s">
        <v>69</v>
      </c>
      <c r="C45" s="159" t="s">
        <v>15</v>
      </c>
      <c r="D45" s="159">
        <v>15</v>
      </c>
      <c r="E45" s="159">
        <v>10</v>
      </c>
      <c r="F45" s="159">
        <v>8820.7999999999993</v>
      </c>
      <c r="G45" s="159">
        <v>875</v>
      </c>
      <c r="H45" s="159">
        <v>0.28000000000000003</v>
      </c>
      <c r="I45" s="160">
        <f t="shared" si="2"/>
        <v>2450.0000000000005</v>
      </c>
      <c r="J45" s="159">
        <v>0</v>
      </c>
      <c r="K45" s="160">
        <f t="shared" si="3"/>
        <v>0</v>
      </c>
      <c r="L45" s="159" t="s">
        <v>53</v>
      </c>
      <c r="M45" s="161" t="s">
        <v>54</v>
      </c>
    </row>
    <row r="46" spans="1:13" ht="70" x14ac:dyDescent="0.45">
      <c r="A46" s="158" t="s">
        <v>95</v>
      </c>
      <c r="B46" s="159" t="s">
        <v>96</v>
      </c>
      <c r="C46" s="159" t="s">
        <v>30</v>
      </c>
      <c r="D46" s="159">
        <v>300</v>
      </c>
      <c r="E46" s="159">
        <v>3.8</v>
      </c>
      <c r="F46" s="159">
        <v>9014</v>
      </c>
      <c r="G46" s="159">
        <v>2375</v>
      </c>
      <c r="H46" s="159">
        <v>0.15</v>
      </c>
      <c r="I46" s="160">
        <f t="shared" si="2"/>
        <v>1353.75</v>
      </c>
      <c r="J46" s="159">
        <v>0</v>
      </c>
      <c r="K46" s="160">
        <f t="shared" si="3"/>
        <v>0</v>
      </c>
      <c r="L46" s="159" t="s">
        <v>53</v>
      </c>
      <c r="M46" s="161" t="s">
        <v>54</v>
      </c>
    </row>
    <row r="47" spans="1:13" ht="157.5" x14ac:dyDescent="0.45">
      <c r="A47" s="158" t="s">
        <v>50</v>
      </c>
      <c r="B47" s="159" t="s">
        <v>93</v>
      </c>
      <c r="C47" s="159" t="s">
        <v>52</v>
      </c>
      <c r="D47" s="159">
        <v>66</v>
      </c>
      <c r="E47" s="159">
        <v>19.399999999999999</v>
      </c>
      <c r="F47" s="159">
        <v>10417.200000000001</v>
      </c>
      <c r="G47" s="159">
        <v>61</v>
      </c>
      <c r="H47" s="159">
        <v>1.5</v>
      </c>
      <c r="I47" s="160">
        <f t="shared" si="2"/>
        <v>1775.1</v>
      </c>
      <c r="J47" s="159">
        <v>0</v>
      </c>
      <c r="K47" s="160">
        <f t="shared" si="3"/>
        <v>0</v>
      </c>
      <c r="L47" s="159" t="s">
        <v>53</v>
      </c>
      <c r="M47" s="161" t="s">
        <v>54</v>
      </c>
    </row>
    <row r="48" spans="1:13" ht="122.5" x14ac:dyDescent="0.45">
      <c r="A48" s="158" t="s">
        <v>50</v>
      </c>
      <c r="B48" s="159" t="s">
        <v>62</v>
      </c>
      <c r="C48" s="159" t="s">
        <v>52</v>
      </c>
      <c r="D48" s="159">
        <v>98</v>
      </c>
      <c r="E48" s="159">
        <v>21.6</v>
      </c>
      <c r="F48" s="159">
        <v>10568.4</v>
      </c>
      <c r="G48" s="159">
        <v>61</v>
      </c>
      <c r="H48" s="159">
        <v>1.5</v>
      </c>
      <c r="I48" s="160">
        <f t="shared" si="2"/>
        <v>1976.4</v>
      </c>
      <c r="J48" s="159">
        <v>0</v>
      </c>
      <c r="K48" s="160">
        <f t="shared" si="3"/>
        <v>0</v>
      </c>
      <c r="L48" s="159" t="s">
        <v>53</v>
      </c>
      <c r="M48" s="161" t="s">
        <v>57</v>
      </c>
    </row>
    <row r="49" spans="1:13" ht="52.5" x14ac:dyDescent="0.45">
      <c r="A49" s="158" t="s">
        <v>79</v>
      </c>
      <c r="B49" s="159" t="s">
        <v>122</v>
      </c>
      <c r="C49" s="159" t="s">
        <v>15</v>
      </c>
      <c r="D49" s="159">
        <v>15</v>
      </c>
      <c r="E49" s="159">
        <v>12.4</v>
      </c>
      <c r="F49" s="159">
        <v>10979.1</v>
      </c>
      <c r="G49" s="159">
        <v>875</v>
      </c>
      <c r="H49" s="159">
        <v>0.28000000000000003</v>
      </c>
      <c r="I49" s="160">
        <f t="shared" si="2"/>
        <v>3038.0000000000005</v>
      </c>
      <c r="J49" s="159">
        <v>0</v>
      </c>
      <c r="K49" s="160">
        <f t="shared" si="3"/>
        <v>0</v>
      </c>
      <c r="L49" s="159" t="s">
        <v>53</v>
      </c>
      <c r="M49" s="161" t="s">
        <v>57</v>
      </c>
    </row>
    <row r="50" spans="1:13" ht="122.5" x14ac:dyDescent="0.45">
      <c r="A50" s="158" t="s">
        <v>89</v>
      </c>
      <c r="B50" s="159" t="s">
        <v>62</v>
      </c>
      <c r="C50" s="159" t="s">
        <v>20</v>
      </c>
      <c r="D50" s="159">
        <v>80</v>
      </c>
      <c r="E50" s="159">
        <v>16.399999999999999</v>
      </c>
      <c r="F50" s="159">
        <v>11803.5</v>
      </c>
      <c r="G50" s="159">
        <v>470</v>
      </c>
      <c r="H50" s="159">
        <v>0.2</v>
      </c>
      <c r="I50" s="160">
        <f t="shared" si="2"/>
        <v>1541.6</v>
      </c>
      <c r="J50" s="159">
        <v>1.6</v>
      </c>
      <c r="K50" s="160">
        <f t="shared" si="3"/>
        <v>12332.8</v>
      </c>
      <c r="L50" s="159" t="s">
        <v>53</v>
      </c>
      <c r="M50" s="161" t="s">
        <v>57</v>
      </c>
    </row>
    <row r="51" spans="1:13" ht="70" x14ac:dyDescent="0.45">
      <c r="A51" s="158" t="s">
        <v>79</v>
      </c>
      <c r="B51" s="159" t="s">
        <v>97</v>
      </c>
      <c r="C51" s="159" t="s">
        <v>15</v>
      </c>
      <c r="D51" s="159">
        <v>13</v>
      </c>
      <c r="E51" s="159">
        <v>16.5</v>
      </c>
      <c r="F51" s="159">
        <v>11922.9</v>
      </c>
      <c r="G51" s="159">
        <v>875</v>
      </c>
      <c r="H51" s="159">
        <v>0.28000000000000003</v>
      </c>
      <c r="I51" s="160">
        <f t="shared" si="2"/>
        <v>4042.5000000000005</v>
      </c>
      <c r="J51" s="159">
        <v>0</v>
      </c>
      <c r="K51" s="160">
        <f t="shared" si="3"/>
        <v>0</v>
      </c>
      <c r="L51" s="159" t="s">
        <v>53</v>
      </c>
      <c r="M51" s="161" t="s">
        <v>54</v>
      </c>
    </row>
    <row r="52" spans="1:13" ht="70" x14ac:dyDescent="0.45">
      <c r="A52" s="158" t="s">
        <v>79</v>
      </c>
      <c r="B52" s="159" t="s">
        <v>97</v>
      </c>
      <c r="C52" s="159" t="s">
        <v>15</v>
      </c>
      <c r="D52" s="159">
        <v>13</v>
      </c>
      <c r="E52" s="159">
        <v>16.5</v>
      </c>
      <c r="F52" s="159">
        <v>12982.8</v>
      </c>
      <c r="G52" s="159">
        <v>875</v>
      </c>
      <c r="H52" s="159">
        <v>0.28000000000000003</v>
      </c>
      <c r="I52" s="160">
        <f t="shared" si="2"/>
        <v>4042.5000000000005</v>
      </c>
      <c r="J52" s="159">
        <v>0</v>
      </c>
      <c r="K52" s="160">
        <f t="shared" si="3"/>
        <v>0</v>
      </c>
      <c r="L52" s="159" t="s">
        <v>53</v>
      </c>
      <c r="M52" s="161" t="s">
        <v>57</v>
      </c>
    </row>
    <row r="53" spans="1:13" ht="122.5" x14ac:dyDescent="0.45">
      <c r="A53" s="158" t="s">
        <v>89</v>
      </c>
      <c r="B53" s="159" t="s">
        <v>63</v>
      </c>
      <c r="C53" s="159" t="s">
        <v>20</v>
      </c>
      <c r="D53" s="159">
        <v>80</v>
      </c>
      <c r="E53" s="159">
        <v>19</v>
      </c>
      <c r="F53" s="159">
        <v>13420.7</v>
      </c>
      <c r="G53" s="159">
        <v>470</v>
      </c>
      <c r="H53" s="159">
        <v>0.2</v>
      </c>
      <c r="I53" s="160">
        <f t="shared" si="2"/>
        <v>1786</v>
      </c>
      <c r="J53" s="159">
        <v>1.6</v>
      </c>
      <c r="K53" s="160">
        <f t="shared" si="3"/>
        <v>14288</v>
      </c>
      <c r="L53" s="159" t="s">
        <v>53</v>
      </c>
      <c r="M53" s="161" t="s">
        <v>54</v>
      </c>
    </row>
    <row r="54" spans="1:13" ht="122.5" x14ac:dyDescent="0.45">
      <c r="A54" s="158" t="s">
        <v>55</v>
      </c>
      <c r="B54" s="159" t="s">
        <v>88</v>
      </c>
      <c r="C54" s="159" t="s">
        <v>56</v>
      </c>
      <c r="D54" s="159">
        <v>100</v>
      </c>
      <c r="E54" s="159">
        <v>6</v>
      </c>
      <c r="F54" s="159">
        <v>14181.2</v>
      </c>
      <c r="G54" s="159">
        <v>2363</v>
      </c>
      <c r="H54" s="159">
        <v>0.14000000000000001</v>
      </c>
      <c r="I54" s="160">
        <f t="shared" si="2"/>
        <v>1984.9200000000003</v>
      </c>
      <c r="J54" s="159">
        <v>0</v>
      </c>
      <c r="K54" s="160">
        <f t="shared" si="3"/>
        <v>0</v>
      </c>
      <c r="L54" s="159" t="s">
        <v>53</v>
      </c>
      <c r="M54" s="161" t="s">
        <v>57</v>
      </c>
    </row>
    <row r="55" spans="1:13" ht="122.5" x14ac:dyDescent="0.45">
      <c r="A55" s="158" t="s">
        <v>89</v>
      </c>
      <c r="B55" s="159" t="s">
        <v>65</v>
      </c>
      <c r="C55" s="159" t="s">
        <v>20</v>
      </c>
      <c r="D55" s="159">
        <v>80</v>
      </c>
      <c r="E55" s="159">
        <v>22</v>
      </c>
      <c r="F55" s="159">
        <v>14923.1</v>
      </c>
      <c r="G55" s="159">
        <v>470</v>
      </c>
      <c r="H55" s="159">
        <v>0.2</v>
      </c>
      <c r="I55" s="160">
        <f t="shared" si="2"/>
        <v>2068</v>
      </c>
      <c r="J55" s="159">
        <v>1.6</v>
      </c>
      <c r="K55" s="160">
        <f t="shared" si="3"/>
        <v>16544</v>
      </c>
      <c r="L55" s="159" t="s">
        <v>53</v>
      </c>
      <c r="M55" s="161" t="s">
        <v>57</v>
      </c>
    </row>
    <row r="56" spans="1:13" ht="175" x14ac:dyDescent="0.45">
      <c r="A56" s="158" t="s">
        <v>89</v>
      </c>
      <c r="B56" s="159" t="s">
        <v>85</v>
      </c>
      <c r="C56" s="159" t="s">
        <v>20</v>
      </c>
      <c r="D56" s="159">
        <v>80</v>
      </c>
      <c r="E56" s="159">
        <v>23.1</v>
      </c>
      <c r="F56" s="159">
        <v>15650.7</v>
      </c>
      <c r="G56" s="159">
        <v>470</v>
      </c>
      <c r="H56" s="159">
        <v>0.2</v>
      </c>
      <c r="I56" s="160">
        <f t="shared" si="2"/>
        <v>2171.4</v>
      </c>
      <c r="J56" s="159">
        <v>1.6</v>
      </c>
      <c r="K56" s="160">
        <f t="shared" si="3"/>
        <v>17371.2</v>
      </c>
      <c r="L56" s="159" t="s">
        <v>53</v>
      </c>
      <c r="M56" s="161" t="s">
        <v>57</v>
      </c>
    </row>
    <row r="57" spans="1:13" ht="87.5" x14ac:dyDescent="0.45">
      <c r="A57" s="158" t="s">
        <v>98</v>
      </c>
      <c r="B57" s="159" t="s">
        <v>99</v>
      </c>
      <c r="C57" s="159" t="s">
        <v>100</v>
      </c>
      <c r="D57" s="159">
        <v>125</v>
      </c>
      <c r="E57" s="159">
        <v>11.4</v>
      </c>
      <c r="F57" s="159">
        <v>16007.9</v>
      </c>
      <c r="G57" s="159">
        <v>644</v>
      </c>
      <c r="H57" s="159">
        <v>0.26</v>
      </c>
      <c r="I57" s="160">
        <f t="shared" si="2"/>
        <v>1908.8160000000003</v>
      </c>
      <c r="J57" s="159">
        <v>0</v>
      </c>
      <c r="K57" s="160">
        <f t="shared" si="3"/>
        <v>0</v>
      </c>
      <c r="L57" s="159" t="s">
        <v>53</v>
      </c>
      <c r="M57" s="161" t="s">
        <v>57</v>
      </c>
    </row>
    <row r="58" spans="1:13" ht="122.5" x14ac:dyDescent="0.45">
      <c r="A58" s="158" t="s">
        <v>101</v>
      </c>
      <c r="B58" s="159" t="s">
        <v>65</v>
      </c>
      <c r="C58" s="159" t="s">
        <v>4</v>
      </c>
      <c r="D58" s="159">
        <v>40</v>
      </c>
      <c r="E58" s="159">
        <v>11</v>
      </c>
      <c r="F58" s="159">
        <v>19186.7</v>
      </c>
      <c r="G58" s="159">
        <v>2353</v>
      </c>
      <c r="H58" s="159">
        <v>0.12</v>
      </c>
      <c r="I58" s="160">
        <f t="shared" si="2"/>
        <v>3105.96</v>
      </c>
      <c r="J58" s="159">
        <v>0</v>
      </c>
      <c r="K58" s="160">
        <f t="shared" si="3"/>
        <v>0</v>
      </c>
      <c r="L58" s="159" t="s">
        <v>53</v>
      </c>
      <c r="M58" s="161" t="s">
        <v>57</v>
      </c>
    </row>
    <row r="59" spans="1:13" ht="70" x14ac:dyDescent="0.45">
      <c r="A59" s="158" t="s">
        <v>55</v>
      </c>
      <c r="B59" s="159" t="s">
        <v>73</v>
      </c>
      <c r="C59" s="159" t="s">
        <v>56</v>
      </c>
      <c r="D59" s="159">
        <v>150</v>
      </c>
      <c r="E59" s="159">
        <v>8.3000000000000007</v>
      </c>
      <c r="F59" s="159">
        <v>19539.400000000001</v>
      </c>
      <c r="G59" s="159">
        <v>2363</v>
      </c>
      <c r="H59" s="159">
        <v>0.14000000000000001</v>
      </c>
      <c r="I59" s="160">
        <f t="shared" si="2"/>
        <v>2745.8060000000005</v>
      </c>
      <c r="J59" s="159">
        <v>0</v>
      </c>
      <c r="K59" s="160">
        <f t="shared" si="3"/>
        <v>0</v>
      </c>
      <c r="L59" s="159" t="s">
        <v>53</v>
      </c>
      <c r="M59" s="161" t="s">
        <v>57</v>
      </c>
    </row>
    <row r="60" spans="1:13" ht="70" x14ac:dyDescent="0.45">
      <c r="A60" s="158" t="s">
        <v>89</v>
      </c>
      <c r="B60" s="159" t="s">
        <v>69</v>
      </c>
      <c r="C60" s="159" t="s">
        <v>20</v>
      </c>
      <c r="D60" s="159">
        <v>120</v>
      </c>
      <c r="E60" s="159">
        <v>28.5</v>
      </c>
      <c r="F60" s="159">
        <v>19964.8</v>
      </c>
      <c r="G60" s="159">
        <v>470</v>
      </c>
      <c r="H60" s="159">
        <v>0.2</v>
      </c>
      <c r="I60" s="160">
        <f t="shared" si="2"/>
        <v>2679</v>
      </c>
      <c r="J60" s="159">
        <v>1.6</v>
      </c>
      <c r="K60" s="160">
        <f t="shared" si="3"/>
        <v>21432</v>
      </c>
      <c r="L60" s="159" t="s">
        <v>53</v>
      </c>
      <c r="M60" s="161" t="s">
        <v>57</v>
      </c>
    </row>
    <row r="61" spans="1:13" ht="70" x14ac:dyDescent="0.45">
      <c r="A61" s="158" t="s">
        <v>86</v>
      </c>
      <c r="B61" s="159" t="s">
        <v>68</v>
      </c>
      <c r="C61" s="159" t="s">
        <v>87</v>
      </c>
      <c r="D61" s="159">
        <v>18</v>
      </c>
      <c r="E61" s="159">
        <v>25</v>
      </c>
      <c r="F61" s="159">
        <v>20537.900000000001</v>
      </c>
      <c r="G61" s="159">
        <v>610</v>
      </c>
      <c r="H61" s="159">
        <v>0.42</v>
      </c>
      <c r="I61" s="160">
        <f t="shared" si="2"/>
        <v>6405</v>
      </c>
      <c r="J61" s="159">
        <v>1.5</v>
      </c>
      <c r="K61" s="160">
        <f t="shared" si="3"/>
        <v>22875</v>
      </c>
      <c r="L61" s="159" t="s">
        <v>53</v>
      </c>
      <c r="M61" s="161" t="s">
        <v>57</v>
      </c>
    </row>
    <row r="62" spans="1:13" ht="87.5" x14ac:dyDescent="0.45">
      <c r="A62" s="158" t="s">
        <v>79</v>
      </c>
      <c r="B62" s="159" t="s">
        <v>102</v>
      </c>
      <c r="C62" s="159" t="s">
        <v>15</v>
      </c>
      <c r="D62" s="159">
        <v>15</v>
      </c>
      <c r="E62" s="159">
        <v>26</v>
      </c>
      <c r="F62" s="159">
        <v>20574.599999999999</v>
      </c>
      <c r="G62" s="159">
        <v>875</v>
      </c>
      <c r="H62" s="159">
        <v>0.28000000000000003</v>
      </c>
      <c r="I62" s="160">
        <f t="shared" si="2"/>
        <v>6370.0000000000009</v>
      </c>
      <c r="J62" s="159">
        <v>0</v>
      </c>
      <c r="K62" s="160">
        <f t="shared" si="3"/>
        <v>0</v>
      </c>
      <c r="L62" s="159" t="s">
        <v>53</v>
      </c>
      <c r="M62" s="161" t="s">
        <v>57</v>
      </c>
    </row>
    <row r="63" spans="1:13" ht="70" x14ac:dyDescent="0.45">
      <c r="A63" s="158" t="s">
        <v>50</v>
      </c>
      <c r="B63" s="159" t="s">
        <v>68</v>
      </c>
      <c r="C63" s="159" t="s">
        <v>52</v>
      </c>
      <c r="D63" s="159">
        <v>30</v>
      </c>
      <c r="E63" s="159">
        <v>42</v>
      </c>
      <c r="F63" s="159">
        <v>21393.7</v>
      </c>
      <c r="G63" s="159">
        <v>61</v>
      </c>
      <c r="H63" s="159">
        <v>1.5</v>
      </c>
      <c r="I63" s="160">
        <f t="shared" si="2"/>
        <v>3843</v>
      </c>
      <c r="J63" s="159">
        <v>0</v>
      </c>
      <c r="K63" s="160">
        <f t="shared" si="3"/>
        <v>0</v>
      </c>
      <c r="L63" s="159" t="s">
        <v>53</v>
      </c>
      <c r="M63" s="161" t="s">
        <v>57</v>
      </c>
    </row>
    <row r="64" spans="1:13" ht="52.5" x14ac:dyDescent="0.45">
      <c r="A64" s="158" t="s">
        <v>78</v>
      </c>
      <c r="B64" s="159" t="s">
        <v>122</v>
      </c>
      <c r="C64" s="159" t="s">
        <v>26</v>
      </c>
      <c r="D64" s="159">
        <v>28</v>
      </c>
      <c r="E64" s="159">
        <v>31</v>
      </c>
      <c r="F64" s="159">
        <v>21581.5</v>
      </c>
      <c r="G64" s="159">
        <v>474</v>
      </c>
      <c r="H64" s="159">
        <v>0.09</v>
      </c>
      <c r="I64" s="160">
        <f t="shared" si="2"/>
        <v>1322.46</v>
      </c>
      <c r="J64" s="159">
        <v>1.6</v>
      </c>
      <c r="K64" s="160">
        <f t="shared" si="3"/>
        <v>23510.400000000001</v>
      </c>
      <c r="L64" s="159" t="s">
        <v>53</v>
      </c>
      <c r="M64" s="161" t="s">
        <v>57</v>
      </c>
    </row>
    <row r="65" spans="1:13" ht="87.5" x14ac:dyDescent="0.45">
      <c r="A65" s="158" t="s">
        <v>50</v>
      </c>
      <c r="B65" s="159" t="s">
        <v>102</v>
      </c>
      <c r="C65" s="159" t="s">
        <v>52</v>
      </c>
      <c r="D65" s="159">
        <v>50</v>
      </c>
      <c r="E65" s="159">
        <v>43</v>
      </c>
      <c r="F65" s="159">
        <v>21801.3</v>
      </c>
      <c r="G65" s="159">
        <v>61</v>
      </c>
      <c r="H65" s="159">
        <v>1.5</v>
      </c>
      <c r="I65" s="160">
        <f t="shared" si="2"/>
        <v>3934.5</v>
      </c>
      <c r="J65" s="159">
        <v>0</v>
      </c>
      <c r="K65" s="160">
        <f t="shared" si="3"/>
        <v>0</v>
      </c>
      <c r="L65" s="159" t="s">
        <v>53</v>
      </c>
      <c r="M65" s="161" t="s">
        <v>54</v>
      </c>
    </row>
    <row r="66" spans="1:13" ht="87.5" x14ac:dyDescent="0.45">
      <c r="A66" s="158" t="s">
        <v>89</v>
      </c>
      <c r="B66" s="159" t="s">
        <v>92</v>
      </c>
      <c r="C66" s="159" t="s">
        <v>20</v>
      </c>
      <c r="D66" s="159">
        <v>80</v>
      </c>
      <c r="E66" s="159">
        <v>34.6</v>
      </c>
      <c r="F66" s="159">
        <v>24226.7</v>
      </c>
      <c r="G66" s="159">
        <v>470</v>
      </c>
      <c r="H66" s="159">
        <v>0.2</v>
      </c>
      <c r="I66" s="160">
        <f t="shared" si="2"/>
        <v>3252.4</v>
      </c>
      <c r="J66" s="159">
        <v>1.6</v>
      </c>
      <c r="K66" s="160">
        <f t="shared" si="3"/>
        <v>26019.200000000001</v>
      </c>
      <c r="L66" s="159" t="s">
        <v>53</v>
      </c>
      <c r="M66" s="161" t="s">
        <v>54</v>
      </c>
    </row>
    <row r="67" spans="1:13" ht="70" x14ac:dyDescent="0.45">
      <c r="A67" s="158" t="s">
        <v>50</v>
      </c>
      <c r="B67" s="159" t="s">
        <v>97</v>
      </c>
      <c r="C67" s="159" t="s">
        <v>52</v>
      </c>
      <c r="D67" s="159">
        <v>66</v>
      </c>
      <c r="E67" s="159">
        <v>71.5</v>
      </c>
      <c r="F67" s="159">
        <v>35262.9</v>
      </c>
      <c r="G67" s="159">
        <v>61</v>
      </c>
      <c r="H67" s="159">
        <v>1.5</v>
      </c>
      <c r="I67" s="160">
        <f t="shared" si="2"/>
        <v>6542.25</v>
      </c>
      <c r="J67" s="159">
        <v>0</v>
      </c>
      <c r="K67" s="160">
        <f t="shared" si="3"/>
        <v>0</v>
      </c>
      <c r="L67" s="159" t="s">
        <v>53</v>
      </c>
      <c r="M67" s="161" t="s">
        <v>54</v>
      </c>
    </row>
    <row r="68" spans="1:13" ht="70" x14ac:dyDescent="0.45">
      <c r="A68" s="158" t="s">
        <v>58</v>
      </c>
      <c r="B68" s="159" t="s">
        <v>103</v>
      </c>
      <c r="C68" s="159" t="s">
        <v>32</v>
      </c>
      <c r="D68" s="159">
        <v>300</v>
      </c>
      <c r="E68" s="159">
        <v>15</v>
      </c>
      <c r="F68" s="159">
        <v>36148.300000000003</v>
      </c>
      <c r="G68" s="159">
        <v>2400</v>
      </c>
      <c r="H68" s="159">
        <v>0.19</v>
      </c>
      <c r="I68" s="160">
        <f t="shared" si="2"/>
        <v>6840</v>
      </c>
      <c r="J68" s="159">
        <v>0</v>
      </c>
      <c r="K68" s="160">
        <f t="shared" si="3"/>
        <v>0</v>
      </c>
      <c r="L68" s="159" t="s">
        <v>53</v>
      </c>
      <c r="M68" s="161" t="s">
        <v>54</v>
      </c>
    </row>
    <row r="69" spans="1:13" ht="70" x14ac:dyDescent="0.45">
      <c r="A69" s="158" t="s">
        <v>95</v>
      </c>
      <c r="B69" s="159" t="s">
        <v>104</v>
      </c>
      <c r="C69" s="159" t="s">
        <v>30</v>
      </c>
      <c r="D69" s="159">
        <v>200</v>
      </c>
      <c r="E69" s="159">
        <v>16.3</v>
      </c>
      <c r="F69" s="159">
        <v>38202.800000000003</v>
      </c>
      <c r="G69" s="159">
        <v>2375</v>
      </c>
      <c r="H69" s="159">
        <v>0.15</v>
      </c>
      <c r="I69" s="160">
        <f t="shared" si="2"/>
        <v>5806.875</v>
      </c>
      <c r="J69" s="159">
        <v>0</v>
      </c>
      <c r="K69" s="160">
        <f t="shared" si="3"/>
        <v>0</v>
      </c>
      <c r="L69" s="159" t="s">
        <v>53</v>
      </c>
      <c r="M69" s="161" t="s">
        <v>54</v>
      </c>
    </row>
    <row r="70" spans="1:13" ht="122.5" x14ac:dyDescent="0.45">
      <c r="A70" s="158" t="s">
        <v>58</v>
      </c>
      <c r="B70" s="159" t="s">
        <v>88</v>
      </c>
      <c r="C70" s="159" t="s">
        <v>32</v>
      </c>
      <c r="D70" s="159">
        <v>300</v>
      </c>
      <c r="E70" s="159">
        <v>16.100000000000001</v>
      </c>
      <c r="F70" s="159">
        <v>38836.300000000003</v>
      </c>
      <c r="G70" s="159">
        <v>2400</v>
      </c>
      <c r="H70" s="159">
        <v>0.19</v>
      </c>
      <c r="I70" s="160">
        <f t="shared" ref="I70:I85" si="4">(G70*E70)*H70</f>
        <v>7341.6</v>
      </c>
      <c r="J70" s="159">
        <v>0</v>
      </c>
      <c r="K70" s="160">
        <f t="shared" ref="K70:K85" si="5">(G70*E70)*J70</f>
        <v>0</v>
      </c>
      <c r="L70" s="159" t="s">
        <v>53</v>
      </c>
      <c r="M70" s="161" t="s">
        <v>54</v>
      </c>
    </row>
    <row r="71" spans="1:13" ht="70" x14ac:dyDescent="0.45">
      <c r="A71" s="158" t="s">
        <v>58</v>
      </c>
      <c r="B71" s="159" t="s">
        <v>166</v>
      </c>
      <c r="C71" s="159" t="s">
        <v>32</v>
      </c>
      <c r="D71" s="159">
        <v>540</v>
      </c>
      <c r="E71" s="159">
        <v>17.600000000000001</v>
      </c>
      <c r="F71" s="159">
        <v>42896.4</v>
      </c>
      <c r="G71" s="159">
        <v>2400</v>
      </c>
      <c r="H71" s="159">
        <v>0.19</v>
      </c>
      <c r="I71" s="160">
        <f t="shared" si="4"/>
        <v>8025.6</v>
      </c>
      <c r="J71" s="159">
        <v>0</v>
      </c>
      <c r="K71" s="160">
        <f t="shared" si="5"/>
        <v>0</v>
      </c>
      <c r="L71" s="159" t="s">
        <v>53</v>
      </c>
      <c r="M71" s="161" t="s">
        <v>54</v>
      </c>
    </row>
    <row r="72" spans="1:13" ht="70" x14ac:dyDescent="0.45">
      <c r="A72" s="158" t="s">
        <v>58</v>
      </c>
      <c r="B72" s="159" t="s">
        <v>166</v>
      </c>
      <c r="C72" s="159" t="s">
        <v>32</v>
      </c>
      <c r="D72" s="159">
        <v>740</v>
      </c>
      <c r="E72" s="159">
        <v>20.399999999999999</v>
      </c>
      <c r="F72" s="159">
        <v>49174.7</v>
      </c>
      <c r="G72" s="159">
        <v>2400</v>
      </c>
      <c r="H72" s="159">
        <v>0.19</v>
      </c>
      <c r="I72" s="160">
        <f t="shared" si="4"/>
        <v>9302.4</v>
      </c>
      <c r="J72" s="159">
        <v>0</v>
      </c>
      <c r="K72" s="160">
        <f t="shared" si="5"/>
        <v>0</v>
      </c>
      <c r="L72" s="159" t="s">
        <v>53</v>
      </c>
      <c r="M72" s="161" t="s">
        <v>54</v>
      </c>
    </row>
    <row r="73" spans="1:13" ht="70" x14ac:dyDescent="0.45">
      <c r="A73" s="158" t="s">
        <v>58</v>
      </c>
      <c r="B73" s="159" t="s">
        <v>105</v>
      </c>
      <c r="C73" s="159" t="s">
        <v>32</v>
      </c>
      <c r="D73" s="159">
        <v>300</v>
      </c>
      <c r="E73" s="159">
        <v>24</v>
      </c>
      <c r="F73" s="159">
        <v>57635.5</v>
      </c>
      <c r="G73" s="159">
        <v>2400</v>
      </c>
      <c r="H73" s="159">
        <v>0.19</v>
      </c>
      <c r="I73" s="160">
        <f t="shared" si="4"/>
        <v>10944</v>
      </c>
      <c r="J73" s="159">
        <v>0</v>
      </c>
      <c r="K73" s="160">
        <f t="shared" si="5"/>
        <v>0</v>
      </c>
      <c r="L73" s="159" t="s">
        <v>53</v>
      </c>
      <c r="M73" s="161" t="s">
        <v>57</v>
      </c>
    </row>
    <row r="74" spans="1:13" ht="52.5" x14ac:dyDescent="0.45">
      <c r="A74" s="158" t="s">
        <v>89</v>
      </c>
      <c r="B74" s="159" t="s">
        <v>165</v>
      </c>
      <c r="C74" s="159" t="s">
        <v>24</v>
      </c>
      <c r="D74" s="159">
        <v>51</v>
      </c>
      <c r="E74" s="159">
        <v>96.8</v>
      </c>
      <c r="F74" s="159">
        <v>61423.6</v>
      </c>
      <c r="G74" s="159">
        <v>470</v>
      </c>
      <c r="H74" s="159">
        <v>0.36</v>
      </c>
      <c r="I74" s="160">
        <f t="shared" si="4"/>
        <v>16378.56</v>
      </c>
      <c r="J74" s="159">
        <v>1.6</v>
      </c>
      <c r="K74" s="160">
        <f t="shared" si="5"/>
        <v>72793.600000000006</v>
      </c>
      <c r="L74" s="159" t="s">
        <v>53</v>
      </c>
      <c r="M74" s="161" t="s">
        <v>54</v>
      </c>
    </row>
    <row r="75" spans="1:13" ht="70" x14ac:dyDescent="0.45">
      <c r="A75" s="158" t="s">
        <v>95</v>
      </c>
      <c r="B75" s="159" t="s">
        <v>77</v>
      </c>
      <c r="C75" s="159" t="s">
        <v>30</v>
      </c>
      <c r="D75" s="159">
        <v>100</v>
      </c>
      <c r="E75" s="159">
        <v>27.1</v>
      </c>
      <c r="F75" s="159">
        <v>65022.3</v>
      </c>
      <c r="G75" s="159">
        <v>2375</v>
      </c>
      <c r="H75" s="159">
        <v>0.15</v>
      </c>
      <c r="I75" s="160">
        <f t="shared" si="4"/>
        <v>9654.375</v>
      </c>
      <c r="J75" s="159">
        <v>0</v>
      </c>
      <c r="K75" s="160">
        <f t="shared" si="5"/>
        <v>0</v>
      </c>
      <c r="L75" s="159" t="s">
        <v>53</v>
      </c>
      <c r="M75" s="161" t="s">
        <v>54</v>
      </c>
    </row>
    <row r="76" spans="1:13" ht="70" x14ac:dyDescent="0.45">
      <c r="A76" s="158" t="s">
        <v>95</v>
      </c>
      <c r="B76" s="159" t="s">
        <v>106</v>
      </c>
      <c r="C76" s="159" t="s">
        <v>30</v>
      </c>
      <c r="D76" s="159">
        <v>440</v>
      </c>
      <c r="E76" s="159">
        <v>31.6</v>
      </c>
      <c r="F76" s="159">
        <v>75898.3</v>
      </c>
      <c r="G76" s="159">
        <v>2375</v>
      </c>
      <c r="H76" s="159">
        <v>0.15</v>
      </c>
      <c r="I76" s="160">
        <f t="shared" si="4"/>
        <v>11257.5</v>
      </c>
      <c r="J76" s="159">
        <v>0</v>
      </c>
      <c r="K76" s="160">
        <f t="shared" si="5"/>
        <v>0</v>
      </c>
      <c r="L76" s="159" t="s">
        <v>53</v>
      </c>
      <c r="M76" s="161" t="s">
        <v>54</v>
      </c>
    </row>
    <row r="77" spans="1:13" ht="70" x14ac:dyDescent="0.45">
      <c r="A77" s="158" t="s">
        <v>89</v>
      </c>
      <c r="B77" s="159" t="s">
        <v>68</v>
      </c>
      <c r="C77" s="159" t="s">
        <v>20</v>
      </c>
      <c r="D77" s="159">
        <v>80</v>
      </c>
      <c r="E77" s="159">
        <v>114.5</v>
      </c>
      <c r="F77" s="159">
        <v>79932.399999999994</v>
      </c>
      <c r="G77" s="159">
        <v>470</v>
      </c>
      <c r="H77" s="159">
        <v>0.2</v>
      </c>
      <c r="I77" s="160">
        <f t="shared" si="4"/>
        <v>10763</v>
      </c>
      <c r="J77" s="159">
        <v>1.6</v>
      </c>
      <c r="K77" s="160">
        <f t="shared" si="5"/>
        <v>86104</v>
      </c>
      <c r="L77" s="159" t="s">
        <v>53</v>
      </c>
      <c r="M77" s="161" t="s">
        <v>54</v>
      </c>
    </row>
    <row r="78" spans="1:13" ht="52.5" x14ac:dyDescent="0.45">
      <c r="A78" s="158" t="s">
        <v>55</v>
      </c>
      <c r="B78" s="159" t="s">
        <v>84</v>
      </c>
      <c r="C78" s="159" t="s">
        <v>56</v>
      </c>
      <c r="D78" s="159">
        <v>100</v>
      </c>
      <c r="E78" s="159">
        <v>34.700000000000003</v>
      </c>
      <c r="F78" s="159">
        <v>81845.100000000006</v>
      </c>
      <c r="G78" s="159">
        <v>2363</v>
      </c>
      <c r="H78" s="159">
        <v>0.14000000000000001</v>
      </c>
      <c r="I78" s="160">
        <f t="shared" si="4"/>
        <v>11479.454000000002</v>
      </c>
      <c r="J78" s="159">
        <v>0</v>
      </c>
      <c r="K78" s="160">
        <f t="shared" si="5"/>
        <v>0</v>
      </c>
      <c r="L78" s="159" t="s">
        <v>53</v>
      </c>
      <c r="M78" s="161" t="s">
        <v>57</v>
      </c>
    </row>
    <row r="79" spans="1:13" ht="52.5" x14ac:dyDescent="0.45">
      <c r="A79" s="158" t="s">
        <v>89</v>
      </c>
      <c r="B79" s="159" t="s">
        <v>122</v>
      </c>
      <c r="C79" s="159" t="s">
        <v>20</v>
      </c>
      <c r="D79" s="159">
        <v>120</v>
      </c>
      <c r="E79" s="159">
        <v>127</v>
      </c>
      <c r="F79" s="159">
        <v>89091.5</v>
      </c>
      <c r="G79" s="159">
        <v>470</v>
      </c>
      <c r="H79" s="159">
        <v>0.2</v>
      </c>
      <c r="I79" s="160">
        <f t="shared" si="4"/>
        <v>11938</v>
      </c>
      <c r="J79" s="159">
        <v>1.6</v>
      </c>
      <c r="K79" s="160">
        <f t="shared" si="5"/>
        <v>95504</v>
      </c>
      <c r="L79" s="159" t="s">
        <v>53</v>
      </c>
      <c r="M79" s="161" t="s">
        <v>54</v>
      </c>
    </row>
    <row r="80" spans="1:13" ht="87.5" x14ac:dyDescent="0.45">
      <c r="A80" s="158" t="s">
        <v>89</v>
      </c>
      <c r="B80" s="159" t="s">
        <v>102</v>
      </c>
      <c r="C80" s="159" t="s">
        <v>20</v>
      </c>
      <c r="D80" s="159">
        <v>80</v>
      </c>
      <c r="E80" s="159">
        <v>137.6</v>
      </c>
      <c r="F80" s="159">
        <v>97436.3</v>
      </c>
      <c r="G80" s="159">
        <v>470</v>
      </c>
      <c r="H80" s="159">
        <v>0.2</v>
      </c>
      <c r="I80" s="160">
        <f t="shared" si="4"/>
        <v>12934.400000000001</v>
      </c>
      <c r="J80" s="159">
        <v>1.6</v>
      </c>
      <c r="K80" s="160">
        <f t="shared" si="5"/>
        <v>103475.20000000001</v>
      </c>
      <c r="L80" s="159" t="s">
        <v>53</v>
      </c>
      <c r="M80" s="161" t="s">
        <v>54</v>
      </c>
    </row>
    <row r="81" spans="1:13" ht="70" x14ac:dyDescent="0.45">
      <c r="A81" s="158" t="s">
        <v>101</v>
      </c>
      <c r="B81" s="159" t="s">
        <v>68</v>
      </c>
      <c r="C81" s="159" t="s">
        <v>4</v>
      </c>
      <c r="D81" s="159">
        <v>40</v>
      </c>
      <c r="E81" s="159">
        <v>57.8</v>
      </c>
      <c r="F81" s="159">
        <v>102691.1</v>
      </c>
      <c r="G81" s="159">
        <v>2353</v>
      </c>
      <c r="H81" s="159">
        <v>0.12</v>
      </c>
      <c r="I81" s="160">
        <f t="shared" si="4"/>
        <v>16320.407999999999</v>
      </c>
      <c r="J81" s="159">
        <v>0</v>
      </c>
      <c r="K81" s="160">
        <f t="shared" si="5"/>
        <v>0</v>
      </c>
      <c r="L81" s="159" t="s">
        <v>53</v>
      </c>
      <c r="M81" s="161" t="s">
        <v>57</v>
      </c>
    </row>
    <row r="82" spans="1:13" ht="70" x14ac:dyDescent="0.45">
      <c r="A82" s="158" t="s">
        <v>95</v>
      </c>
      <c r="B82" s="159" t="s">
        <v>107</v>
      </c>
      <c r="C82" s="159" t="s">
        <v>31</v>
      </c>
      <c r="D82" s="159">
        <v>270</v>
      </c>
      <c r="E82" s="159">
        <v>89</v>
      </c>
      <c r="F82" s="159">
        <v>115655.8</v>
      </c>
      <c r="G82" s="159">
        <v>1410</v>
      </c>
      <c r="H82" s="159">
        <v>0.17</v>
      </c>
      <c r="I82" s="160">
        <f t="shared" si="4"/>
        <v>21333.300000000003</v>
      </c>
      <c r="J82" s="159">
        <v>0</v>
      </c>
      <c r="K82" s="160">
        <f t="shared" si="5"/>
        <v>0</v>
      </c>
      <c r="L82" s="159" t="s">
        <v>53</v>
      </c>
      <c r="M82" s="161" t="s">
        <v>54</v>
      </c>
    </row>
    <row r="83" spans="1:13" ht="52.5" x14ac:dyDescent="0.45">
      <c r="A83" s="158" t="s">
        <v>50</v>
      </c>
      <c r="B83" s="159" t="s">
        <v>122</v>
      </c>
      <c r="C83" s="159" t="s">
        <v>52</v>
      </c>
      <c r="D83" s="159">
        <v>220</v>
      </c>
      <c r="E83" s="159">
        <v>238</v>
      </c>
      <c r="F83" s="159">
        <v>119034</v>
      </c>
      <c r="G83" s="159">
        <v>61</v>
      </c>
      <c r="H83" s="159">
        <v>1.5</v>
      </c>
      <c r="I83" s="160">
        <f t="shared" si="4"/>
        <v>21777</v>
      </c>
      <c r="J83" s="159">
        <v>0</v>
      </c>
      <c r="K83" s="160">
        <f t="shared" si="5"/>
        <v>0</v>
      </c>
      <c r="L83" s="159" t="s">
        <v>53</v>
      </c>
      <c r="M83" s="161" t="s">
        <v>54</v>
      </c>
    </row>
    <row r="84" spans="1:13" ht="70" x14ac:dyDescent="0.45">
      <c r="A84" s="158" t="s">
        <v>95</v>
      </c>
      <c r="B84" s="159" t="s">
        <v>77</v>
      </c>
      <c r="C84" s="159" t="s">
        <v>30</v>
      </c>
      <c r="D84" s="159">
        <v>200</v>
      </c>
      <c r="E84" s="159">
        <v>52.9</v>
      </c>
      <c r="F84" s="159">
        <v>126894.5</v>
      </c>
      <c r="G84" s="159">
        <v>2375</v>
      </c>
      <c r="H84" s="159">
        <v>0.15</v>
      </c>
      <c r="I84" s="160">
        <f t="shared" si="4"/>
        <v>18845.625</v>
      </c>
      <c r="J84" s="159">
        <v>0</v>
      </c>
      <c r="K84" s="160">
        <f t="shared" si="5"/>
        <v>0</v>
      </c>
      <c r="L84" s="159" t="s">
        <v>53</v>
      </c>
      <c r="M84" s="161" t="s">
        <v>54</v>
      </c>
    </row>
    <row r="85" spans="1:13" ht="87.5" x14ac:dyDescent="0.45">
      <c r="A85" s="158" t="s">
        <v>58</v>
      </c>
      <c r="B85" s="159" t="s">
        <v>108</v>
      </c>
      <c r="C85" s="159" t="s">
        <v>32</v>
      </c>
      <c r="D85" s="159">
        <v>200</v>
      </c>
      <c r="E85" s="159">
        <v>64.2</v>
      </c>
      <c r="F85" s="159">
        <v>153606.1</v>
      </c>
      <c r="G85" s="159">
        <v>2400</v>
      </c>
      <c r="H85" s="159">
        <v>0.19</v>
      </c>
      <c r="I85" s="160">
        <f t="shared" si="4"/>
        <v>29275.200000000001</v>
      </c>
      <c r="J85" s="159">
        <v>0</v>
      </c>
      <c r="K85" s="160">
        <f t="shared" si="5"/>
        <v>0</v>
      </c>
      <c r="L85" s="159" t="s">
        <v>53</v>
      </c>
      <c r="M85" s="161" t="s">
        <v>57</v>
      </c>
    </row>
    <row r="86" spans="1:13" ht="17.5" x14ac:dyDescent="0.35">
      <c r="A86" s="156" t="s">
        <v>109</v>
      </c>
      <c r="B86" s="156" t="s">
        <v>109</v>
      </c>
      <c r="C86" s="156" t="s">
        <v>109</v>
      </c>
      <c r="D86" s="156" t="s">
        <v>109</v>
      </c>
      <c r="E86" s="156">
        <v>4378</v>
      </c>
      <c r="F86" s="156" t="s">
        <v>109</v>
      </c>
      <c r="G86" s="156" t="s">
        <v>109</v>
      </c>
      <c r="H86" s="156">
        <v>4378</v>
      </c>
      <c r="I86" s="4">
        <f>SUM(I6:I85)</f>
        <v>366158.56300000002</v>
      </c>
      <c r="J86" s="4">
        <f t="shared" ref="J86:K86" si="6">SUM(J6:J85)</f>
        <v>26.500000000000007</v>
      </c>
      <c r="K86" s="4">
        <f t="shared" si="6"/>
        <v>536279.26</v>
      </c>
      <c r="L86" s="156" t="s">
        <v>109</v>
      </c>
      <c r="M86" s="156" t="s">
        <v>109</v>
      </c>
    </row>
    <row r="87" spans="1:13" ht="15.5" x14ac:dyDescent="0.3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</row>
    <row r="88" spans="1:13" ht="15.5" x14ac:dyDescent="0.35">
      <c r="A88" s="4"/>
      <c r="B88" s="4"/>
      <c r="C88" s="4"/>
      <c r="D88" s="4"/>
      <c r="E88" s="4"/>
      <c r="F88" s="4"/>
      <c r="G88" s="4"/>
      <c r="H88" s="4"/>
      <c r="I88" s="4"/>
      <c r="J88" s="140">
        <f>I86-K86</f>
        <v>-170120.69699999999</v>
      </c>
      <c r="K88" s="4" t="s">
        <v>44</v>
      </c>
      <c r="L88" s="4"/>
      <c r="M88" s="4"/>
    </row>
    <row r="89" spans="1:13" ht="15.5" x14ac:dyDescent="0.35">
      <c r="A89" s="4"/>
      <c r="B89" s="4"/>
      <c r="C89" s="4"/>
      <c r="D89" s="4"/>
      <c r="E89" s="4"/>
      <c r="F89" s="4"/>
      <c r="G89" s="4"/>
      <c r="H89" s="4"/>
      <c r="I89" s="4"/>
      <c r="J89" s="140">
        <f>J88/1000</f>
        <v>-170.12069699999998</v>
      </c>
      <c r="K89" s="4" t="s">
        <v>110</v>
      </c>
      <c r="L89" s="4"/>
      <c r="M89" s="4"/>
    </row>
    <row r="90" spans="1:13" ht="15.5" x14ac:dyDescent="0.3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</row>
    <row r="91" spans="1:13" ht="15.5" x14ac:dyDescent="0.3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</row>
    <row r="92" spans="1:13" ht="15.5" x14ac:dyDescent="0.3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</row>
    <row r="93" spans="1:13" ht="15.5" x14ac:dyDescent="0.3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</row>
    <row r="94" spans="1:13" ht="15.5" x14ac:dyDescent="0.3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</row>
    <row r="95" spans="1:13" ht="15.5" x14ac:dyDescent="0.3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</row>
    <row r="96" spans="1:13" ht="15.5" x14ac:dyDescent="0.3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</row>
    <row r="97" spans="1:13" ht="15.5" x14ac:dyDescent="0.3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</row>
    <row r="98" spans="1:13" ht="15.5" x14ac:dyDescent="0.3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</row>
  </sheetData>
  <mergeCells count="1">
    <mergeCell ref="A3:K3"/>
  </mergeCells>
  <pageMargins left="0.7" right="0.7" top="0.75" bottom="0.75" header="0.3" footer="0.3"/>
  <pageSetup paperSize="9" orientation="portrait" verticalDpi="0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7D8274-A403-445F-8973-A0F201C51DF6}">
  <dimension ref="A10:N94"/>
  <sheetViews>
    <sheetView topLeftCell="A88" workbookViewId="0">
      <selection activeCell="A10" sqref="A10:N94"/>
    </sheetView>
  </sheetViews>
  <sheetFormatPr defaultRowHeight="14.5" x14ac:dyDescent="0.35"/>
  <cols>
    <col min="4" max="5" width="8.81640625" bestFit="1" customWidth="1"/>
    <col min="6" max="6" width="9.7265625" bestFit="1" customWidth="1"/>
    <col min="7" max="11" width="8.81640625" bestFit="1" customWidth="1"/>
  </cols>
  <sheetData>
    <row r="10" spans="1:14" ht="17.5" x14ac:dyDescent="0.45">
      <c r="A10" s="163" t="s">
        <v>346</v>
      </c>
      <c r="B10" s="163"/>
      <c r="C10" s="163"/>
      <c r="D10" s="163"/>
      <c r="E10" s="163"/>
      <c r="F10" s="163"/>
      <c r="G10" s="163"/>
      <c r="H10" s="163"/>
      <c r="I10" s="163"/>
      <c r="J10" s="163"/>
      <c r="K10" s="163"/>
      <c r="L10" s="4"/>
      <c r="M10" s="4"/>
      <c r="N10" s="4"/>
    </row>
    <row r="11" spans="1:14" ht="17.5" x14ac:dyDescent="0.45">
      <c r="A11" s="163"/>
      <c r="B11" s="163"/>
      <c r="C11" s="163"/>
      <c r="D11" s="163"/>
      <c r="E11" s="163"/>
      <c r="F11" s="163"/>
      <c r="G11" s="163"/>
      <c r="H11" s="163"/>
      <c r="I11" s="163"/>
      <c r="J11" s="163"/>
      <c r="K11" s="163"/>
      <c r="L11" s="4"/>
      <c r="M11" s="4"/>
      <c r="N11" s="4"/>
    </row>
    <row r="12" spans="1:14" ht="17.5" x14ac:dyDescent="0.35">
      <c r="A12" s="266" t="s">
        <v>267</v>
      </c>
      <c r="B12" s="266"/>
      <c r="C12" s="266"/>
      <c r="D12" s="266"/>
      <c r="E12" s="266"/>
      <c r="F12" s="266"/>
      <c r="G12" s="266"/>
      <c r="H12" s="266"/>
      <c r="I12" s="266"/>
      <c r="J12" s="266"/>
      <c r="K12" s="266"/>
      <c r="L12" s="164"/>
      <c r="M12" s="164"/>
      <c r="N12" s="164"/>
    </row>
    <row r="13" spans="1:14" ht="87.5" x14ac:dyDescent="0.35">
      <c r="A13" s="165" t="s">
        <v>36</v>
      </c>
      <c r="B13" s="165" t="s">
        <v>37</v>
      </c>
      <c r="C13" s="165" t="s">
        <v>38</v>
      </c>
      <c r="D13" s="165" t="s">
        <v>39</v>
      </c>
      <c r="E13" s="165" t="s">
        <v>40</v>
      </c>
      <c r="F13" s="165" t="s">
        <v>41</v>
      </c>
      <c r="G13" s="165" t="s">
        <v>42</v>
      </c>
      <c r="H13" s="165" t="s">
        <v>43</v>
      </c>
      <c r="I13" s="166"/>
      <c r="J13" s="165" t="s">
        <v>45</v>
      </c>
      <c r="K13" s="166"/>
      <c r="L13" s="165" t="s">
        <v>152</v>
      </c>
      <c r="M13" s="165" t="s">
        <v>47</v>
      </c>
      <c r="N13" s="164"/>
    </row>
    <row r="14" spans="1:14" ht="52.5" x14ac:dyDescent="0.35">
      <c r="A14" s="167" t="s">
        <v>36</v>
      </c>
      <c r="B14" s="165" t="s">
        <v>37</v>
      </c>
      <c r="C14" s="165" t="s">
        <v>38</v>
      </c>
      <c r="D14" s="165" t="s">
        <v>265</v>
      </c>
      <c r="E14" s="165" t="s">
        <v>264</v>
      </c>
      <c r="F14" s="165" t="s">
        <v>113</v>
      </c>
      <c r="G14" s="165" t="s">
        <v>114</v>
      </c>
      <c r="H14" s="165" t="s">
        <v>115</v>
      </c>
      <c r="I14" s="164" t="s">
        <v>44</v>
      </c>
      <c r="J14" s="165" t="s">
        <v>116</v>
      </c>
      <c r="K14" s="164" t="s">
        <v>117</v>
      </c>
      <c r="L14" s="165" t="s">
        <v>152</v>
      </c>
      <c r="M14" s="168" t="s">
        <v>263</v>
      </c>
      <c r="N14" s="164"/>
    </row>
    <row r="15" spans="1:14" ht="105" x14ac:dyDescent="0.35">
      <c r="A15" s="167" t="s">
        <v>75</v>
      </c>
      <c r="B15" s="165" t="s">
        <v>123</v>
      </c>
      <c r="C15" s="165" t="s">
        <v>76</v>
      </c>
      <c r="D15" s="165">
        <v>400</v>
      </c>
      <c r="E15" s="165">
        <v>173</v>
      </c>
      <c r="F15" s="165">
        <v>6921.9</v>
      </c>
      <c r="G15" s="165">
        <v>33</v>
      </c>
      <c r="H15" s="165">
        <v>1.5</v>
      </c>
      <c r="I15" s="164">
        <f t="shared" ref="I15:I78" si="0">(G15*E15)*H15</f>
        <v>8563.5</v>
      </c>
      <c r="J15" s="165">
        <v>0</v>
      </c>
      <c r="K15" s="164">
        <f t="shared" ref="K15:K78" si="1">(G15*E15)*J15</f>
        <v>0</v>
      </c>
      <c r="L15" s="165" t="s">
        <v>53</v>
      </c>
      <c r="M15" s="168" t="s">
        <v>57</v>
      </c>
      <c r="N15" s="164"/>
    </row>
    <row r="16" spans="1:14" ht="105" x14ac:dyDescent="0.35">
      <c r="A16" s="167" t="s">
        <v>89</v>
      </c>
      <c r="B16" s="165" t="s">
        <v>123</v>
      </c>
      <c r="C16" s="165" t="s">
        <v>20</v>
      </c>
      <c r="D16" s="165">
        <v>200</v>
      </c>
      <c r="E16" s="165">
        <v>86.5</v>
      </c>
      <c r="F16" s="165">
        <v>60566.7</v>
      </c>
      <c r="G16" s="165">
        <v>470</v>
      </c>
      <c r="H16" s="165">
        <v>0.2</v>
      </c>
      <c r="I16" s="164">
        <f t="shared" si="0"/>
        <v>8131</v>
      </c>
      <c r="J16" s="165">
        <v>1.6</v>
      </c>
      <c r="K16" s="164">
        <f t="shared" si="1"/>
        <v>65048</v>
      </c>
      <c r="L16" s="165" t="s">
        <v>53</v>
      </c>
      <c r="M16" s="168" t="s">
        <v>54</v>
      </c>
      <c r="N16" s="164"/>
    </row>
    <row r="17" spans="1:14" ht="87.5" x14ac:dyDescent="0.35">
      <c r="A17" s="167" t="s">
        <v>98</v>
      </c>
      <c r="B17" s="165" t="s">
        <v>99</v>
      </c>
      <c r="C17" s="165" t="s">
        <v>100</v>
      </c>
      <c r="D17" s="165">
        <v>125</v>
      </c>
      <c r="E17" s="165">
        <v>11.9</v>
      </c>
      <c r="F17" s="165">
        <v>16673.3</v>
      </c>
      <c r="G17" s="165">
        <v>644</v>
      </c>
      <c r="H17" s="165">
        <v>0.26</v>
      </c>
      <c r="I17" s="164">
        <f t="shared" si="0"/>
        <v>1992.5360000000001</v>
      </c>
      <c r="J17" s="165">
        <v>0</v>
      </c>
      <c r="K17" s="164">
        <f t="shared" si="1"/>
        <v>0</v>
      </c>
      <c r="L17" s="165" t="s">
        <v>53</v>
      </c>
      <c r="M17" s="168" t="s">
        <v>57</v>
      </c>
      <c r="N17" s="164"/>
    </row>
    <row r="18" spans="1:14" ht="87.5" x14ac:dyDescent="0.35">
      <c r="A18" s="167" t="s">
        <v>58</v>
      </c>
      <c r="B18" s="165" t="s">
        <v>108</v>
      </c>
      <c r="C18" s="165" t="s">
        <v>32</v>
      </c>
      <c r="D18" s="165">
        <v>200</v>
      </c>
      <c r="E18" s="165">
        <v>64.400000000000006</v>
      </c>
      <c r="F18" s="165">
        <v>154163.6</v>
      </c>
      <c r="G18" s="165">
        <v>2400</v>
      </c>
      <c r="H18" s="165">
        <v>0.19</v>
      </c>
      <c r="I18" s="164">
        <f t="shared" si="0"/>
        <v>29366.400000000001</v>
      </c>
      <c r="J18" s="165">
        <v>0</v>
      </c>
      <c r="K18" s="164">
        <f t="shared" si="1"/>
        <v>0</v>
      </c>
      <c r="L18" s="165" t="s">
        <v>53</v>
      </c>
      <c r="M18" s="168" t="s">
        <v>57</v>
      </c>
      <c r="N18" s="164"/>
    </row>
    <row r="19" spans="1:14" ht="70" x14ac:dyDescent="0.35">
      <c r="A19" s="167" t="s">
        <v>58</v>
      </c>
      <c r="B19" s="165" t="s">
        <v>103</v>
      </c>
      <c r="C19" s="165" t="s">
        <v>32</v>
      </c>
      <c r="D19" s="165">
        <v>300</v>
      </c>
      <c r="E19" s="165">
        <v>15.6</v>
      </c>
      <c r="F19" s="165">
        <v>37538.300000000003</v>
      </c>
      <c r="G19" s="165">
        <v>2400</v>
      </c>
      <c r="H19" s="165">
        <v>0.19</v>
      </c>
      <c r="I19" s="164">
        <f t="shared" si="0"/>
        <v>7113.6</v>
      </c>
      <c r="J19" s="165">
        <v>0</v>
      </c>
      <c r="K19" s="164">
        <f t="shared" si="1"/>
        <v>0</v>
      </c>
      <c r="L19" s="165" t="s">
        <v>53</v>
      </c>
      <c r="M19" s="168" t="s">
        <v>54</v>
      </c>
      <c r="N19" s="164"/>
    </row>
    <row r="20" spans="1:14" ht="70" x14ac:dyDescent="0.35">
      <c r="A20" s="167" t="s">
        <v>58</v>
      </c>
      <c r="B20" s="165" t="s">
        <v>105</v>
      </c>
      <c r="C20" s="165" t="s">
        <v>32</v>
      </c>
      <c r="D20" s="165">
        <v>300</v>
      </c>
      <c r="E20" s="165">
        <v>16.600000000000001</v>
      </c>
      <c r="F20" s="165">
        <v>39910.199999999997</v>
      </c>
      <c r="G20" s="165">
        <v>2400</v>
      </c>
      <c r="H20" s="165">
        <v>0.19</v>
      </c>
      <c r="I20" s="164">
        <f t="shared" si="0"/>
        <v>7569.6</v>
      </c>
      <c r="J20" s="165">
        <v>0</v>
      </c>
      <c r="K20" s="164">
        <f t="shared" si="1"/>
        <v>0</v>
      </c>
      <c r="L20" s="165" t="s">
        <v>53</v>
      </c>
      <c r="M20" s="168" t="s">
        <v>57</v>
      </c>
      <c r="N20" s="164"/>
    </row>
    <row r="21" spans="1:14" ht="70" x14ac:dyDescent="0.35">
      <c r="A21" s="167" t="s">
        <v>50</v>
      </c>
      <c r="B21" s="165" t="s">
        <v>97</v>
      </c>
      <c r="C21" s="165" t="s">
        <v>52</v>
      </c>
      <c r="D21" s="165">
        <v>66</v>
      </c>
      <c r="E21" s="165">
        <v>71.5</v>
      </c>
      <c r="F21" s="165">
        <v>34905.199999999997</v>
      </c>
      <c r="G21" s="165">
        <v>61</v>
      </c>
      <c r="H21" s="165">
        <v>1.5</v>
      </c>
      <c r="I21" s="164">
        <f t="shared" si="0"/>
        <v>6542.25</v>
      </c>
      <c r="J21" s="165">
        <v>0</v>
      </c>
      <c r="K21" s="164">
        <f t="shared" si="1"/>
        <v>0</v>
      </c>
      <c r="L21" s="165" t="s">
        <v>53</v>
      </c>
      <c r="M21" s="168" t="s">
        <v>54</v>
      </c>
      <c r="N21" s="164"/>
    </row>
    <row r="22" spans="1:14" ht="70" x14ac:dyDescent="0.35">
      <c r="A22" s="167" t="s">
        <v>79</v>
      </c>
      <c r="B22" s="165" t="s">
        <v>97</v>
      </c>
      <c r="C22" s="165" t="s">
        <v>15</v>
      </c>
      <c r="D22" s="165">
        <v>13</v>
      </c>
      <c r="E22" s="165">
        <v>16.5</v>
      </c>
      <c r="F22" s="165">
        <v>11797.5</v>
      </c>
      <c r="G22" s="165">
        <v>875</v>
      </c>
      <c r="H22" s="165">
        <v>0.28000000000000003</v>
      </c>
      <c r="I22" s="164">
        <f t="shared" si="0"/>
        <v>4042.5000000000005</v>
      </c>
      <c r="J22" s="165">
        <v>0</v>
      </c>
      <c r="K22" s="164">
        <f t="shared" si="1"/>
        <v>0</v>
      </c>
      <c r="L22" s="165" t="s">
        <v>53</v>
      </c>
      <c r="M22" s="168" t="s">
        <v>54</v>
      </c>
      <c r="N22" s="164"/>
    </row>
    <row r="23" spans="1:14" ht="70" x14ac:dyDescent="0.35">
      <c r="A23" s="167" t="s">
        <v>79</v>
      </c>
      <c r="B23" s="165" t="s">
        <v>97</v>
      </c>
      <c r="C23" s="165" t="s">
        <v>15</v>
      </c>
      <c r="D23" s="165">
        <v>13</v>
      </c>
      <c r="E23" s="165">
        <v>16.5</v>
      </c>
      <c r="F23" s="165">
        <v>12953.5</v>
      </c>
      <c r="G23" s="165">
        <v>875</v>
      </c>
      <c r="H23" s="165">
        <v>0.28000000000000003</v>
      </c>
      <c r="I23" s="164">
        <f t="shared" si="0"/>
        <v>4042.5000000000005</v>
      </c>
      <c r="J23" s="165">
        <v>0</v>
      </c>
      <c r="K23" s="164">
        <f t="shared" si="1"/>
        <v>0</v>
      </c>
      <c r="L23" s="165" t="s">
        <v>53</v>
      </c>
      <c r="M23" s="168" t="s">
        <v>57</v>
      </c>
      <c r="N23" s="164"/>
    </row>
    <row r="24" spans="1:14" ht="140" x14ac:dyDescent="0.35">
      <c r="A24" s="167" t="s">
        <v>50</v>
      </c>
      <c r="B24" s="165" t="s">
        <v>126</v>
      </c>
      <c r="C24" s="165" t="s">
        <v>52</v>
      </c>
      <c r="D24" s="165">
        <v>98</v>
      </c>
      <c r="E24" s="165">
        <v>7.2</v>
      </c>
      <c r="F24" s="165">
        <v>3523.3</v>
      </c>
      <c r="G24" s="165">
        <v>61</v>
      </c>
      <c r="H24" s="165">
        <v>1.5</v>
      </c>
      <c r="I24" s="164">
        <f t="shared" si="0"/>
        <v>658.8</v>
      </c>
      <c r="J24" s="165">
        <v>0</v>
      </c>
      <c r="K24" s="164">
        <f t="shared" si="1"/>
        <v>0</v>
      </c>
      <c r="L24" s="165" t="s">
        <v>53</v>
      </c>
      <c r="M24" s="168" t="s">
        <v>57</v>
      </c>
      <c r="N24" s="164"/>
    </row>
    <row r="25" spans="1:14" ht="140" x14ac:dyDescent="0.35">
      <c r="A25" s="167" t="s">
        <v>59</v>
      </c>
      <c r="B25" s="165" t="s">
        <v>126</v>
      </c>
      <c r="C25" s="165" t="s">
        <v>61</v>
      </c>
      <c r="D25" s="165">
        <v>20</v>
      </c>
      <c r="E25" s="165">
        <v>1.4</v>
      </c>
      <c r="F25" s="165">
        <v>1.9</v>
      </c>
      <c r="G25" s="165">
        <v>0</v>
      </c>
      <c r="H25" s="165">
        <v>0</v>
      </c>
      <c r="I25" s="164">
        <f t="shared" si="0"/>
        <v>0</v>
      </c>
      <c r="J25" s="165">
        <v>0</v>
      </c>
      <c r="K25" s="164">
        <f t="shared" si="1"/>
        <v>0</v>
      </c>
      <c r="L25" s="165" t="s">
        <v>53</v>
      </c>
      <c r="M25" s="168" t="s">
        <v>57</v>
      </c>
      <c r="N25" s="164"/>
    </row>
    <row r="26" spans="1:14" ht="140" x14ac:dyDescent="0.35">
      <c r="A26" s="167" t="s">
        <v>79</v>
      </c>
      <c r="B26" s="165" t="s">
        <v>126</v>
      </c>
      <c r="C26" s="165" t="s">
        <v>15</v>
      </c>
      <c r="D26" s="165">
        <v>15</v>
      </c>
      <c r="E26" s="165">
        <v>2</v>
      </c>
      <c r="F26" s="165">
        <v>1938.4</v>
      </c>
      <c r="G26" s="165">
        <v>875</v>
      </c>
      <c r="H26" s="165">
        <v>0.28000000000000003</v>
      </c>
      <c r="I26" s="164">
        <f t="shared" si="0"/>
        <v>490.00000000000006</v>
      </c>
      <c r="J26" s="165">
        <v>0</v>
      </c>
      <c r="K26" s="164">
        <f t="shared" si="1"/>
        <v>0</v>
      </c>
      <c r="L26" s="165" t="s">
        <v>53</v>
      </c>
      <c r="M26" s="168" t="s">
        <v>57</v>
      </c>
      <c r="N26" s="164"/>
    </row>
    <row r="27" spans="1:14" ht="140" x14ac:dyDescent="0.35">
      <c r="A27" s="167" t="s">
        <v>79</v>
      </c>
      <c r="B27" s="165" t="s">
        <v>126</v>
      </c>
      <c r="C27" s="165" t="s">
        <v>15</v>
      </c>
      <c r="D27" s="165">
        <v>15</v>
      </c>
      <c r="E27" s="165">
        <v>1</v>
      </c>
      <c r="F27" s="165">
        <v>953.4</v>
      </c>
      <c r="G27" s="165">
        <v>875</v>
      </c>
      <c r="H27" s="165">
        <v>0.28000000000000003</v>
      </c>
      <c r="I27" s="164">
        <f t="shared" si="0"/>
        <v>245.00000000000003</v>
      </c>
      <c r="J27" s="165">
        <v>0</v>
      </c>
      <c r="K27" s="164">
        <f t="shared" si="1"/>
        <v>0</v>
      </c>
      <c r="L27" s="165" t="s">
        <v>53</v>
      </c>
      <c r="M27" s="168" t="s">
        <v>54</v>
      </c>
      <c r="N27" s="164"/>
    </row>
    <row r="28" spans="1:14" ht="140" x14ac:dyDescent="0.35">
      <c r="A28" s="167" t="s">
        <v>89</v>
      </c>
      <c r="B28" s="165" t="s">
        <v>126</v>
      </c>
      <c r="C28" s="165" t="s">
        <v>20</v>
      </c>
      <c r="D28" s="165">
        <v>100</v>
      </c>
      <c r="E28" s="165">
        <v>7.2</v>
      </c>
      <c r="F28" s="165">
        <v>5025.3</v>
      </c>
      <c r="G28" s="165">
        <v>470</v>
      </c>
      <c r="H28" s="165">
        <v>0.2</v>
      </c>
      <c r="I28" s="164">
        <f t="shared" si="0"/>
        <v>676.80000000000007</v>
      </c>
      <c r="J28" s="165">
        <v>1.6</v>
      </c>
      <c r="K28" s="164">
        <f t="shared" si="1"/>
        <v>5414.4000000000005</v>
      </c>
      <c r="L28" s="165" t="s">
        <v>53</v>
      </c>
      <c r="M28" s="168" t="s">
        <v>57</v>
      </c>
      <c r="N28" s="164"/>
    </row>
    <row r="29" spans="1:14" ht="70" x14ac:dyDescent="0.35">
      <c r="A29" s="167" t="s">
        <v>79</v>
      </c>
      <c r="B29" s="165" t="s">
        <v>128</v>
      </c>
      <c r="C29" s="165" t="s">
        <v>15</v>
      </c>
      <c r="D29" s="165">
        <v>15</v>
      </c>
      <c r="E29" s="165">
        <v>1.8</v>
      </c>
      <c r="F29" s="165">
        <v>1507.9</v>
      </c>
      <c r="G29" s="165">
        <v>875</v>
      </c>
      <c r="H29" s="165">
        <v>0.28000000000000003</v>
      </c>
      <c r="I29" s="164">
        <f t="shared" si="0"/>
        <v>441.00000000000006</v>
      </c>
      <c r="J29" s="165">
        <v>0</v>
      </c>
      <c r="K29" s="164">
        <f t="shared" si="1"/>
        <v>0</v>
      </c>
      <c r="L29" s="165" t="s">
        <v>53</v>
      </c>
      <c r="M29" s="168" t="s">
        <v>57</v>
      </c>
      <c r="N29" s="164"/>
    </row>
    <row r="30" spans="1:14" ht="70" x14ac:dyDescent="0.35">
      <c r="A30" s="167" t="s">
        <v>79</v>
      </c>
      <c r="B30" s="165" t="s">
        <v>128</v>
      </c>
      <c r="C30" s="165" t="s">
        <v>15</v>
      </c>
      <c r="D30" s="165">
        <v>15</v>
      </c>
      <c r="E30" s="165">
        <v>1.8</v>
      </c>
      <c r="F30" s="165">
        <v>1378.6</v>
      </c>
      <c r="G30" s="165">
        <v>875</v>
      </c>
      <c r="H30" s="165">
        <v>0.28000000000000003</v>
      </c>
      <c r="I30" s="164">
        <f t="shared" si="0"/>
        <v>441.00000000000006</v>
      </c>
      <c r="J30" s="165">
        <v>0</v>
      </c>
      <c r="K30" s="164">
        <f t="shared" si="1"/>
        <v>0</v>
      </c>
      <c r="L30" s="165" t="s">
        <v>53</v>
      </c>
      <c r="M30" s="168" t="s">
        <v>54</v>
      </c>
      <c r="N30" s="164"/>
    </row>
    <row r="31" spans="1:14" ht="70" x14ac:dyDescent="0.35">
      <c r="A31" s="167" t="s">
        <v>89</v>
      </c>
      <c r="B31" s="165" t="s">
        <v>128</v>
      </c>
      <c r="C31" s="165" t="s">
        <v>20</v>
      </c>
      <c r="D31" s="165">
        <v>100</v>
      </c>
      <c r="E31" s="165">
        <v>10.7</v>
      </c>
      <c r="F31" s="165">
        <v>7520.8</v>
      </c>
      <c r="G31" s="165">
        <v>470</v>
      </c>
      <c r="H31" s="165">
        <v>0.2</v>
      </c>
      <c r="I31" s="164">
        <f t="shared" si="0"/>
        <v>1005.8000000000001</v>
      </c>
      <c r="J31" s="165">
        <v>1.6</v>
      </c>
      <c r="K31" s="164">
        <f t="shared" si="1"/>
        <v>8046.4000000000005</v>
      </c>
      <c r="L31" s="165" t="s">
        <v>53</v>
      </c>
      <c r="M31" s="168" t="s">
        <v>54</v>
      </c>
      <c r="N31" s="164"/>
    </row>
    <row r="32" spans="1:14" ht="192.5" x14ac:dyDescent="0.35">
      <c r="A32" s="167" t="s">
        <v>79</v>
      </c>
      <c r="B32" s="165" t="s">
        <v>129</v>
      </c>
      <c r="C32" s="165" t="s">
        <v>15</v>
      </c>
      <c r="D32" s="165">
        <v>15</v>
      </c>
      <c r="E32" s="165">
        <v>3.5</v>
      </c>
      <c r="F32" s="165">
        <v>3568</v>
      </c>
      <c r="G32" s="165">
        <v>875</v>
      </c>
      <c r="H32" s="165">
        <v>0.28000000000000003</v>
      </c>
      <c r="I32" s="164">
        <f t="shared" si="0"/>
        <v>857.50000000000011</v>
      </c>
      <c r="J32" s="165">
        <v>0</v>
      </c>
      <c r="K32" s="164">
        <f t="shared" si="1"/>
        <v>0</v>
      </c>
      <c r="L32" s="165" t="s">
        <v>53</v>
      </c>
      <c r="M32" s="168" t="s">
        <v>57</v>
      </c>
      <c r="N32" s="164"/>
    </row>
    <row r="33" spans="1:14" ht="192.5" x14ac:dyDescent="0.35">
      <c r="A33" s="167" t="s">
        <v>79</v>
      </c>
      <c r="B33" s="165" t="s">
        <v>129</v>
      </c>
      <c r="C33" s="165" t="s">
        <v>15</v>
      </c>
      <c r="D33" s="165">
        <v>15</v>
      </c>
      <c r="E33" s="165">
        <v>3.5</v>
      </c>
      <c r="F33" s="165">
        <v>3154.2</v>
      </c>
      <c r="G33" s="165">
        <v>875</v>
      </c>
      <c r="H33" s="165">
        <v>0.28000000000000003</v>
      </c>
      <c r="I33" s="164">
        <f t="shared" si="0"/>
        <v>857.50000000000011</v>
      </c>
      <c r="J33" s="165">
        <v>0</v>
      </c>
      <c r="K33" s="164">
        <f t="shared" si="1"/>
        <v>0</v>
      </c>
      <c r="L33" s="165" t="s">
        <v>53</v>
      </c>
      <c r="M33" s="168" t="s">
        <v>54</v>
      </c>
      <c r="N33" s="164"/>
    </row>
    <row r="34" spans="1:14" ht="192.5" x14ac:dyDescent="0.35">
      <c r="A34" s="167" t="s">
        <v>89</v>
      </c>
      <c r="B34" s="165" t="s">
        <v>129</v>
      </c>
      <c r="C34" s="165" t="s">
        <v>20</v>
      </c>
      <c r="D34" s="165">
        <v>100</v>
      </c>
      <c r="E34" s="165">
        <v>28.4</v>
      </c>
      <c r="F34" s="165">
        <v>19456.2</v>
      </c>
      <c r="G34" s="165">
        <v>470</v>
      </c>
      <c r="H34" s="165">
        <v>0.2</v>
      </c>
      <c r="I34" s="164">
        <f t="shared" si="0"/>
        <v>2669.6000000000004</v>
      </c>
      <c r="J34" s="165">
        <v>1.6</v>
      </c>
      <c r="K34" s="164">
        <f t="shared" si="1"/>
        <v>21356.800000000003</v>
      </c>
      <c r="L34" s="165" t="s">
        <v>53</v>
      </c>
      <c r="M34" s="168" t="s">
        <v>57</v>
      </c>
      <c r="N34" s="164"/>
    </row>
    <row r="35" spans="1:14" ht="157.5" x14ac:dyDescent="0.35">
      <c r="A35" s="167" t="s">
        <v>50</v>
      </c>
      <c r="B35" s="165" t="s">
        <v>93</v>
      </c>
      <c r="C35" s="165" t="s">
        <v>52</v>
      </c>
      <c r="D35" s="165">
        <v>66</v>
      </c>
      <c r="E35" s="165">
        <v>19.399999999999999</v>
      </c>
      <c r="F35" s="165">
        <v>10134.799999999999</v>
      </c>
      <c r="G35" s="165">
        <v>61</v>
      </c>
      <c r="H35" s="165">
        <v>1.5</v>
      </c>
      <c r="I35" s="164">
        <f t="shared" si="0"/>
        <v>1775.1</v>
      </c>
      <c r="J35" s="165">
        <v>0</v>
      </c>
      <c r="K35" s="164">
        <f t="shared" si="1"/>
        <v>0</v>
      </c>
      <c r="L35" s="165" t="s">
        <v>53</v>
      </c>
      <c r="M35" s="168" t="s">
        <v>54</v>
      </c>
      <c r="N35" s="164"/>
    </row>
    <row r="36" spans="1:14" ht="157.5" x14ac:dyDescent="0.35">
      <c r="A36" s="167" t="s">
        <v>79</v>
      </c>
      <c r="B36" s="165" t="s">
        <v>93</v>
      </c>
      <c r="C36" s="165" t="s">
        <v>15</v>
      </c>
      <c r="D36" s="165">
        <v>15</v>
      </c>
      <c r="E36" s="165">
        <v>7</v>
      </c>
      <c r="F36" s="165">
        <v>7980.6</v>
      </c>
      <c r="G36" s="165">
        <v>875</v>
      </c>
      <c r="H36" s="165">
        <v>0.28000000000000003</v>
      </c>
      <c r="I36" s="164">
        <f t="shared" si="0"/>
        <v>1715.0000000000002</v>
      </c>
      <c r="J36" s="165">
        <v>0</v>
      </c>
      <c r="K36" s="164">
        <f t="shared" si="1"/>
        <v>0</v>
      </c>
      <c r="L36" s="165" t="s">
        <v>53</v>
      </c>
      <c r="M36" s="168" t="s">
        <v>57</v>
      </c>
      <c r="N36" s="164"/>
    </row>
    <row r="37" spans="1:14" ht="140" x14ac:dyDescent="0.35">
      <c r="A37" s="167" t="s">
        <v>50</v>
      </c>
      <c r="B37" s="165" t="s">
        <v>125</v>
      </c>
      <c r="C37" s="165" t="s">
        <v>52</v>
      </c>
      <c r="D37" s="165">
        <v>68</v>
      </c>
      <c r="E37" s="165">
        <v>26.1</v>
      </c>
      <c r="F37" s="165">
        <v>12924.1</v>
      </c>
      <c r="G37" s="165">
        <v>61</v>
      </c>
      <c r="H37" s="165">
        <v>1.5</v>
      </c>
      <c r="I37" s="164">
        <f t="shared" si="0"/>
        <v>2388.15</v>
      </c>
      <c r="J37" s="165">
        <v>0</v>
      </c>
      <c r="K37" s="164">
        <f t="shared" si="1"/>
        <v>0</v>
      </c>
      <c r="L37" s="165" t="s">
        <v>53</v>
      </c>
      <c r="M37" s="168" t="s">
        <v>54</v>
      </c>
      <c r="N37" s="164"/>
    </row>
    <row r="38" spans="1:14" ht="140" x14ac:dyDescent="0.35">
      <c r="A38" s="167" t="s">
        <v>59</v>
      </c>
      <c r="B38" s="165" t="s">
        <v>125</v>
      </c>
      <c r="C38" s="165" t="s">
        <v>61</v>
      </c>
      <c r="D38" s="165">
        <v>20</v>
      </c>
      <c r="E38" s="165">
        <v>7.9</v>
      </c>
      <c r="F38" s="165">
        <v>9</v>
      </c>
      <c r="G38" s="165">
        <v>0</v>
      </c>
      <c r="H38" s="165">
        <v>0</v>
      </c>
      <c r="I38" s="164">
        <f t="shared" si="0"/>
        <v>0</v>
      </c>
      <c r="J38" s="165">
        <v>0</v>
      </c>
      <c r="K38" s="164">
        <f t="shared" si="1"/>
        <v>0</v>
      </c>
      <c r="L38" s="165" t="s">
        <v>53</v>
      </c>
      <c r="M38" s="168" t="s">
        <v>54</v>
      </c>
      <c r="N38" s="164"/>
    </row>
    <row r="39" spans="1:14" ht="140" x14ac:dyDescent="0.35">
      <c r="A39" s="167" t="s">
        <v>79</v>
      </c>
      <c r="B39" s="165" t="s">
        <v>125</v>
      </c>
      <c r="C39" s="165" t="s">
        <v>15</v>
      </c>
      <c r="D39" s="165">
        <v>15</v>
      </c>
      <c r="E39" s="165">
        <v>13.9</v>
      </c>
      <c r="F39" s="165">
        <v>13499.4</v>
      </c>
      <c r="G39" s="165">
        <v>875</v>
      </c>
      <c r="H39" s="165">
        <v>0.28000000000000003</v>
      </c>
      <c r="I39" s="164">
        <f t="shared" si="0"/>
        <v>3405.5000000000005</v>
      </c>
      <c r="J39" s="165">
        <v>0</v>
      </c>
      <c r="K39" s="164">
        <f t="shared" si="1"/>
        <v>0</v>
      </c>
      <c r="L39" s="165" t="s">
        <v>53</v>
      </c>
      <c r="M39" s="168" t="s">
        <v>57</v>
      </c>
      <c r="N39" s="164"/>
    </row>
    <row r="40" spans="1:14" ht="140" x14ac:dyDescent="0.35">
      <c r="A40" s="167" t="s">
        <v>89</v>
      </c>
      <c r="B40" s="165" t="s">
        <v>125</v>
      </c>
      <c r="C40" s="165" t="s">
        <v>20</v>
      </c>
      <c r="D40" s="165">
        <v>100</v>
      </c>
      <c r="E40" s="165">
        <v>36.9</v>
      </c>
      <c r="F40" s="165">
        <v>26264.6</v>
      </c>
      <c r="G40" s="165">
        <v>470</v>
      </c>
      <c r="H40" s="165">
        <v>0.2</v>
      </c>
      <c r="I40" s="164">
        <f t="shared" si="0"/>
        <v>3468.6000000000004</v>
      </c>
      <c r="J40" s="165">
        <v>1.6</v>
      </c>
      <c r="K40" s="164">
        <f t="shared" si="1"/>
        <v>27748.800000000003</v>
      </c>
      <c r="L40" s="165" t="s">
        <v>53</v>
      </c>
      <c r="M40" s="168" t="s">
        <v>54</v>
      </c>
      <c r="N40" s="164"/>
    </row>
    <row r="41" spans="1:14" ht="52.5" x14ac:dyDescent="0.35">
      <c r="A41" s="167" t="s">
        <v>50</v>
      </c>
      <c r="B41" s="165" t="s">
        <v>124</v>
      </c>
      <c r="C41" s="165" t="s">
        <v>52</v>
      </c>
      <c r="D41" s="165">
        <v>50</v>
      </c>
      <c r="E41" s="165">
        <v>42.9</v>
      </c>
      <c r="F41" s="165">
        <v>21704.7</v>
      </c>
      <c r="G41" s="165">
        <v>61</v>
      </c>
      <c r="H41" s="165">
        <v>1.5</v>
      </c>
      <c r="I41" s="164">
        <f t="shared" si="0"/>
        <v>3925.3500000000004</v>
      </c>
      <c r="J41" s="165">
        <v>0</v>
      </c>
      <c r="K41" s="164">
        <f t="shared" si="1"/>
        <v>0</v>
      </c>
      <c r="L41" s="165" t="s">
        <v>53</v>
      </c>
      <c r="M41" s="168" t="s">
        <v>54</v>
      </c>
      <c r="N41" s="164"/>
    </row>
    <row r="42" spans="1:14" ht="52.5" x14ac:dyDescent="0.35">
      <c r="A42" s="167" t="s">
        <v>79</v>
      </c>
      <c r="B42" s="165" t="s">
        <v>124</v>
      </c>
      <c r="C42" s="165" t="s">
        <v>15</v>
      </c>
      <c r="D42" s="165">
        <v>15</v>
      </c>
      <c r="E42" s="165">
        <v>25.1</v>
      </c>
      <c r="F42" s="165">
        <v>20562.2</v>
      </c>
      <c r="G42" s="165">
        <v>875</v>
      </c>
      <c r="H42" s="165">
        <v>0.28000000000000003</v>
      </c>
      <c r="I42" s="164">
        <f t="shared" si="0"/>
        <v>6149.5000000000009</v>
      </c>
      <c r="J42" s="165">
        <v>0</v>
      </c>
      <c r="K42" s="164">
        <f t="shared" si="1"/>
        <v>0</v>
      </c>
      <c r="L42" s="165" t="s">
        <v>53</v>
      </c>
      <c r="M42" s="168" t="s">
        <v>57</v>
      </c>
      <c r="N42" s="164"/>
    </row>
    <row r="43" spans="1:14" ht="52.5" x14ac:dyDescent="0.35">
      <c r="A43" s="167" t="s">
        <v>89</v>
      </c>
      <c r="B43" s="165" t="s">
        <v>124</v>
      </c>
      <c r="C43" s="165" t="s">
        <v>20</v>
      </c>
      <c r="D43" s="165">
        <v>100</v>
      </c>
      <c r="E43" s="165">
        <v>170.4</v>
      </c>
      <c r="F43" s="165">
        <v>119539.8</v>
      </c>
      <c r="G43" s="165">
        <v>470</v>
      </c>
      <c r="H43" s="165">
        <v>0.2</v>
      </c>
      <c r="I43" s="164">
        <f t="shared" si="0"/>
        <v>16017.6</v>
      </c>
      <c r="J43" s="165">
        <v>1.6</v>
      </c>
      <c r="K43" s="164">
        <f t="shared" si="1"/>
        <v>128140.8</v>
      </c>
      <c r="L43" s="165" t="s">
        <v>53</v>
      </c>
      <c r="M43" s="168" t="s">
        <v>54</v>
      </c>
      <c r="N43" s="164"/>
    </row>
    <row r="44" spans="1:14" ht="70" x14ac:dyDescent="0.35">
      <c r="A44" s="167" t="s">
        <v>95</v>
      </c>
      <c r="B44" s="165" t="s">
        <v>96</v>
      </c>
      <c r="C44" s="165" t="s">
        <v>30</v>
      </c>
      <c r="D44" s="165">
        <v>300</v>
      </c>
      <c r="E44" s="165">
        <v>3.8</v>
      </c>
      <c r="F44" s="165">
        <v>9014</v>
      </c>
      <c r="G44" s="165">
        <v>2375</v>
      </c>
      <c r="H44" s="165">
        <v>0.15</v>
      </c>
      <c r="I44" s="164">
        <f t="shared" si="0"/>
        <v>1353.75</v>
      </c>
      <c r="J44" s="165">
        <v>0</v>
      </c>
      <c r="K44" s="164">
        <f t="shared" si="1"/>
        <v>0</v>
      </c>
      <c r="L44" s="165" t="s">
        <v>53</v>
      </c>
      <c r="M44" s="168" t="s">
        <v>54</v>
      </c>
      <c r="N44" s="164"/>
    </row>
    <row r="45" spans="1:14" ht="70" x14ac:dyDescent="0.35">
      <c r="A45" s="167" t="s">
        <v>95</v>
      </c>
      <c r="B45" s="165" t="s">
        <v>104</v>
      </c>
      <c r="C45" s="165" t="s">
        <v>30</v>
      </c>
      <c r="D45" s="165">
        <v>200</v>
      </c>
      <c r="E45" s="165">
        <v>16.3</v>
      </c>
      <c r="F45" s="165">
        <v>38202.800000000003</v>
      </c>
      <c r="G45" s="165">
        <v>2375</v>
      </c>
      <c r="H45" s="165">
        <v>0.15</v>
      </c>
      <c r="I45" s="164">
        <f t="shared" si="0"/>
        <v>5806.875</v>
      </c>
      <c r="J45" s="165">
        <v>0</v>
      </c>
      <c r="K45" s="164">
        <f t="shared" si="1"/>
        <v>0</v>
      </c>
      <c r="L45" s="165" t="s">
        <v>53</v>
      </c>
      <c r="M45" s="168" t="s">
        <v>54</v>
      </c>
      <c r="N45" s="164"/>
    </row>
    <row r="46" spans="1:14" ht="87.5" x14ac:dyDescent="0.35">
      <c r="A46" s="167" t="s">
        <v>59</v>
      </c>
      <c r="B46" s="165" t="s">
        <v>120</v>
      </c>
      <c r="C46" s="165" t="s">
        <v>61</v>
      </c>
      <c r="D46" s="165">
        <v>230</v>
      </c>
      <c r="E46" s="165">
        <v>53.1</v>
      </c>
      <c r="F46" s="165">
        <v>63.6</v>
      </c>
      <c r="G46" s="165">
        <v>0</v>
      </c>
      <c r="H46" s="165">
        <v>0</v>
      </c>
      <c r="I46" s="164">
        <f t="shared" si="0"/>
        <v>0</v>
      </c>
      <c r="J46" s="165">
        <v>0</v>
      </c>
      <c r="K46" s="164">
        <f t="shared" si="1"/>
        <v>0</v>
      </c>
      <c r="L46" s="165" t="s">
        <v>53</v>
      </c>
      <c r="M46" s="168" t="s">
        <v>54</v>
      </c>
      <c r="N46" s="164"/>
    </row>
    <row r="47" spans="1:14" ht="87.5" x14ac:dyDescent="0.35">
      <c r="A47" s="167" t="s">
        <v>79</v>
      </c>
      <c r="B47" s="165" t="s">
        <v>120</v>
      </c>
      <c r="C47" s="165" t="s">
        <v>15</v>
      </c>
      <c r="D47" s="165">
        <v>15</v>
      </c>
      <c r="E47" s="165">
        <v>10.5</v>
      </c>
      <c r="F47" s="165">
        <v>9326.2999999999993</v>
      </c>
      <c r="G47" s="165">
        <v>875</v>
      </c>
      <c r="H47" s="165">
        <v>0.28000000000000003</v>
      </c>
      <c r="I47" s="164">
        <f t="shared" si="0"/>
        <v>2572.5000000000005</v>
      </c>
      <c r="J47" s="165">
        <v>0</v>
      </c>
      <c r="K47" s="164">
        <f t="shared" si="1"/>
        <v>0</v>
      </c>
      <c r="L47" s="165" t="s">
        <v>53</v>
      </c>
      <c r="M47" s="168" t="s">
        <v>54</v>
      </c>
      <c r="N47" s="164"/>
    </row>
    <row r="48" spans="1:14" ht="87.5" x14ac:dyDescent="0.35">
      <c r="A48" s="167" t="s">
        <v>89</v>
      </c>
      <c r="B48" s="165" t="s">
        <v>120</v>
      </c>
      <c r="C48" s="165" t="s">
        <v>20</v>
      </c>
      <c r="D48" s="165">
        <v>200</v>
      </c>
      <c r="E48" s="165">
        <v>47.5</v>
      </c>
      <c r="F48" s="165">
        <v>33318.1</v>
      </c>
      <c r="G48" s="165">
        <v>470</v>
      </c>
      <c r="H48" s="165">
        <v>0.2</v>
      </c>
      <c r="I48" s="164">
        <f t="shared" si="0"/>
        <v>4465</v>
      </c>
      <c r="J48" s="165">
        <v>1.6</v>
      </c>
      <c r="K48" s="164">
        <f t="shared" si="1"/>
        <v>35720</v>
      </c>
      <c r="L48" s="165" t="s">
        <v>53</v>
      </c>
      <c r="M48" s="168" t="s">
        <v>57</v>
      </c>
      <c r="N48" s="164"/>
    </row>
    <row r="49" spans="1:14" ht="140" x14ac:dyDescent="0.35">
      <c r="A49" s="167" t="s">
        <v>101</v>
      </c>
      <c r="B49" s="165" t="s">
        <v>118</v>
      </c>
      <c r="C49" s="165" t="s">
        <v>4</v>
      </c>
      <c r="D49" s="165">
        <v>40</v>
      </c>
      <c r="E49" s="165">
        <v>11</v>
      </c>
      <c r="F49" s="165">
        <v>19186.7</v>
      </c>
      <c r="G49" s="165">
        <v>2353</v>
      </c>
      <c r="H49" s="165">
        <v>0.12</v>
      </c>
      <c r="I49" s="164">
        <f t="shared" si="0"/>
        <v>3105.96</v>
      </c>
      <c r="J49" s="165">
        <v>0</v>
      </c>
      <c r="K49" s="164">
        <f t="shared" si="1"/>
        <v>0</v>
      </c>
      <c r="L49" s="165" t="s">
        <v>53</v>
      </c>
      <c r="M49" s="168" t="s">
        <v>57</v>
      </c>
      <c r="N49" s="164"/>
    </row>
    <row r="50" spans="1:14" ht="140" x14ac:dyDescent="0.35">
      <c r="A50" s="167" t="s">
        <v>50</v>
      </c>
      <c r="B50" s="165" t="s">
        <v>118</v>
      </c>
      <c r="C50" s="165" t="s">
        <v>52</v>
      </c>
      <c r="D50" s="165">
        <v>30</v>
      </c>
      <c r="E50" s="165">
        <v>5.5</v>
      </c>
      <c r="F50" s="165">
        <v>3996.8</v>
      </c>
      <c r="G50" s="165">
        <v>61</v>
      </c>
      <c r="H50" s="165">
        <v>1.5</v>
      </c>
      <c r="I50" s="164">
        <f t="shared" si="0"/>
        <v>503.25</v>
      </c>
      <c r="J50" s="165">
        <v>0</v>
      </c>
      <c r="K50" s="164">
        <f t="shared" si="1"/>
        <v>0</v>
      </c>
      <c r="L50" s="165" t="s">
        <v>53</v>
      </c>
      <c r="M50" s="168" t="s">
        <v>57</v>
      </c>
      <c r="N50" s="164"/>
    </row>
    <row r="51" spans="1:14" ht="140" x14ac:dyDescent="0.35">
      <c r="A51" s="167" t="s">
        <v>64</v>
      </c>
      <c r="B51" s="165" t="s">
        <v>118</v>
      </c>
      <c r="C51" s="165" t="s">
        <v>66</v>
      </c>
      <c r="D51" s="165">
        <v>25</v>
      </c>
      <c r="E51" s="165">
        <v>5.5</v>
      </c>
      <c r="F51" s="165">
        <v>5.5</v>
      </c>
      <c r="G51" s="165">
        <v>0</v>
      </c>
      <c r="H51" s="165">
        <v>0</v>
      </c>
      <c r="I51" s="164">
        <f t="shared" si="0"/>
        <v>0</v>
      </c>
      <c r="J51" s="165">
        <v>0</v>
      </c>
      <c r="K51" s="164">
        <f t="shared" si="1"/>
        <v>0</v>
      </c>
      <c r="L51" s="165" t="s">
        <v>53</v>
      </c>
      <c r="M51" s="168" t="s">
        <v>57</v>
      </c>
      <c r="N51" s="164"/>
    </row>
    <row r="52" spans="1:14" ht="140" x14ac:dyDescent="0.35">
      <c r="A52" s="167" t="s">
        <v>64</v>
      </c>
      <c r="B52" s="165" t="s">
        <v>118</v>
      </c>
      <c r="C52" s="165" t="s">
        <v>66</v>
      </c>
      <c r="D52" s="165">
        <v>150</v>
      </c>
      <c r="E52" s="165">
        <v>38.4</v>
      </c>
      <c r="F52" s="165">
        <v>49</v>
      </c>
      <c r="G52" s="165">
        <v>0</v>
      </c>
      <c r="H52" s="165">
        <v>0</v>
      </c>
      <c r="I52" s="164">
        <f t="shared" si="0"/>
        <v>0</v>
      </c>
      <c r="J52" s="165">
        <v>0</v>
      </c>
      <c r="K52" s="164">
        <f t="shared" si="1"/>
        <v>0</v>
      </c>
      <c r="L52" s="165" t="s">
        <v>53</v>
      </c>
      <c r="M52" s="168" t="s">
        <v>57</v>
      </c>
      <c r="N52" s="164"/>
    </row>
    <row r="53" spans="1:14" ht="140" x14ac:dyDescent="0.35">
      <c r="A53" s="167" t="s">
        <v>121</v>
      </c>
      <c r="B53" s="165" t="s">
        <v>118</v>
      </c>
      <c r="C53" s="165" t="s">
        <v>13</v>
      </c>
      <c r="D53" s="165">
        <v>50</v>
      </c>
      <c r="E53" s="165">
        <v>11</v>
      </c>
      <c r="F53" s="165">
        <v>29313</v>
      </c>
      <c r="G53" s="165">
        <v>1000</v>
      </c>
      <c r="H53" s="165">
        <v>0.05</v>
      </c>
      <c r="I53" s="164">
        <f t="shared" si="0"/>
        <v>550</v>
      </c>
      <c r="J53" s="165">
        <v>0</v>
      </c>
      <c r="K53" s="164">
        <f t="shared" si="1"/>
        <v>0</v>
      </c>
      <c r="L53" s="165" t="s">
        <v>53</v>
      </c>
      <c r="M53" s="168" t="s">
        <v>57</v>
      </c>
      <c r="N53" s="164"/>
    </row>
    <row r="54" spans="1:14" ht="140" x14ac:dyDescent="0.35">
      <c r="A54" s="167" t="s">
        <v>79</v>
      </c>
      <c r="B54" s="165" t="s">
        <v>118</v>
      </c>
      <c r="C54" s="165" t="s">
        <v>15</v>
      </c>
      <c r="D54" s="165">
        <v>15</v>
      </c>
      <c r="E54" s="165">
        <v>5.5</v>
      </c>
      <c r="F54" s="165">
        <v>3206.9</v>
      </c>
      <c r="G54" s="165">
        <v>875</v>
      </c>
      <c r="H54" s="165">
        <v>0.28000000000000003</v>
      </c>
      <c r="I54" s="164">
        <f t="shared" si="0"/>
        <v>1347.5000000000002</v>
      </c>
      <c r="J54" s="165">
        <v>0</v>
      </c>
      <c r="K54" s="164">
        <f t="shared" si="1"/>
        <v>0</v>
      </c>
      <c r="L54" s="165" t="s">
        <v>53</v>
      </c>
      <c r="M54" s="168" t="s">
        <v>57</v>
      </c>
      <c r="N54" s="164"/>
    </row>
    <row r="55" spans="1:14" ht="140" x14ac:dyDescent="0.35">
      <c r="A55" s="167" t="s">
        <v>89</v>
      </c>
      <c r="B55" s="165" t="s">
        <v>118</v>
      </c>
      <c r="C55" s="165" t="s">
        <v>20</v>
      </c>
      <c r="D55" s="165">
        <v>200</v>
      </c>
      <c r="E55" s="165">
        <v>54.9</v>
      </c>
      <c r="F55" s="165">
        <v>37306.800000000003</v>
      </c>
      <c r="G55" s="165">
        <v>470</v>
      </c>
      <c r="H55" s="165">
        <v>0.2</v>
      </c>
      <c r="I55" s="164">
        <f t="shared" si="0"/>
        <v>5160.6000000000004</v>
      </c>
      <c r="J55" s="165">
        <v>1.6</v>
      </c>
      <c r="K55" s="164">
        <f t="shared" si="1"/>
        <v>41284.800000000003</v>
      </c>
      <c r="L55" s="165" t="s">
        <v>53</v>
      </c>
      <c r="M55" s="168" t="s">
        <v>57</v>
      </c>
      <c r="N55" s="164"/>
    </row>
    <row r="56" spans="1:14" ht="87.5" x14ac:dyDescent="0.35">
      <c r="A56" s="167" t="s">
        <v>101</v>
      </c>
      <c r="B56" s="165" t="s">
        <v>119</v>
      </c>
      <c r="C56" s="165" t="s">
        <v>4</v>
      </c>
      <c r="D56" s="165">
        <v>40</v>
      </c>
      <c r="E56" s="165">
        <v>57.8</v>
      </c>
      <c r="F56" s="165">
        <v>102752.6</v>
      </c>
      <c r="G56" s="165">
        <v>2353</v>
      </c>
      <c r="H56" s="165">
        <v>0.12</v>
      </c>
      <c r="I56" s="164">
        <f t="shared" si="0"/>
        <v>16320.407999999999</v>
      </c>
      <c r="J56" s="165">
        <v>0</v>
      </c>
      <c r="K56" s="164">
        <f t="shared" si="1"/>
        <v>0</v>
      </c>
      <c r="L56" s="165" t="s">
        <v>53</v>
      </c>
      <c r="M56" s="168" t="s">
        <v>57</v>
      </c>
      <c r="N56" s="164"/>
    </row>
    <row r="57" spans="1:14" ht="87.5" x14ac:dyDescent="0.35">
      <c r="A57" s="167" t="s">
        <v>50</v>
      </c>
      <c r="B57" s="165" t="s">
        <v>119</v>
      </c>
      <c r="C57" s="165" t="s">
        <v>52</v>
      </c>
      <c r="D57" s="165">
        <v>30</v>
      </c>
      <c r="E57" s="165">
        <v>42</v>
      </c>
      <c r="F57" s="165">
        <v>21406.7</v>
      </c>
      <c r="G57" s="165">
        <v>61</v>
      </c>
      <c r="H57" s="165">
        <v>1.5</v>
      </c>
      <c r="I57" s="164">
        <f t="shared" si="0"/>
        <v>3843</v>
      </c>
      <c r="J57" s="165">
        <v>0</v>
      </c>
      <c r="K57" s="164">
        <f t="shared" si="1"/>
        <v>0</v>
      </c>
      <c r="L57" s="165" t="s">
        <v>53</v>
      </c>
      <c r="M57" s="168" t="s">
        <v>57</v>
      </c>
      <c r="N57" s="164"/>
    </row>
    <row r="58" spans="1:14" ht="87.5" x14ac:dyDescent="0.35">
      <c r="A58" s="167" t="s">
        <v>64</v>
      </c>
      <c r="B58" s="165" t="s">
        <v>119</v>
      </c>
      <c r="C58" s="165" t="s">
        <v>66</v>
      </c>
      <c r="D58" s="165">
        <v>25</v>
      </c>
      <c r="E58" s="165">
        <v>35.4</v>
      </c>
      <c r="F58" s="165">
        <v>41.9</v>
      </c>
      <c r="G58" s="165">
        <v>0</v>
      </c>
      <c r="H58" s="165">
        <v>0</v>
      </c>
      <c r="I58" s="164">
        <f t="shared" si="0"/>
        <v>0</v>
      </c>
      <c r="J58" s="165">
        <v>0</v>
      </c>
      <c r="K58" s="164">
        <f t="shared" si="1"/>
        <v>0</v>
      </c>
      <c r="L58" s="165" t="s">
        <v>53</v>
      </c>
      <c r="M58" s="168" t="s">
        <v>54</v>
      </c>
      <c r="N58" s="164"/>
    </row>
    <row r="59" spans="1:14" ht="87.5" x14ac:dyDescent="0.35">
      <c r="A59" s="167" t="s">
        <v>64</v>
      </c>
      <c r="B59" s="165" t="s">
        <v>119</v>
      </c>
      <c r="C59" s="165" t="s">
        <v>66</v>
      </c>
      <c r="D59" s="165">
        <v>48</v>
      </c>
      <c r="E59" s="165">
        <v>69</v>
      </c>
      <c r="F59" s="165">
        <v>81.2</v>
      </c>
      <c r="G59" s="165">
        <v>0</v>
      </c>
      <c r="H59" s="165">
        <v>0</v>
      </c>
      <c r="I59" s="164">
        <f t="shared" si="0"/>
        <v>0</v>
      </c>
      <c r="J59" s="165">
        <v>0</v>
      </c>
      <c r="K59" s="164">
        <f t="shared" si="1"/>
        <v>0</v>
      </c>
      <c r="L59" s="165" t="s">
        <v>53</v>
      </c>
      <c r="M59" s="168" t="s">
        <v>54</v>
      </c>
      <c r="N59" s="164"/>
    </row>
    <row r="60" spans="1:14" ht="87.5" x14ac:dyDescent="0.35">
      <c r="A60" s="167" t="s">
        <v>121</v>
      </c>
      <c r="B60" s="165" t="s">
        <v>119</v>
      </c>
      <c r="C60" s="165" t="s">
        <v>13</v>
      </c>
      <c r="D60" s="165">
        <v>50</v>
      </c>
      <c r="E60" s="165">
        <v>70</v>
      </c>
      <c r="F60" s="165">
        <v>156982.29999999999</v>
      </c>
      <c r="G60" s="165">
        <v>1000</v>
      </c>
      <c r="H60" s="165">
        <v>0.05</v>
      </c>
      <c r="I60" s="164">
        <f t="shared" si="0"/>
        <v>3500</v>
      </c>
      <c r="J60" s="165">
        <v>0</v>
      </c>
      <c r="K60" s="164">
        <f t="shared" si="1"/>
        <v>0</v>
      </c>
      <c r="L60" s="165" t="s">
        <v>53</v>
      </c>
      <c r="M60" s="168" t="s">
        <v>57</v>
      </c>
      <c r="N60" s="164"/>
    </row>
    <row r="61" spans="1:14" ht="87.5" x14ac:dyDescent="0.35">
      <c r="A61" s="167" t="s">
        <v>79</v>
      </c>
      <c r="B61" s="165" t="s">
        <v>119</v>
      </c>
      <c r="C61" s="165" t="s">
        <v>15</v>
      </c>
      <c r="D61" s="165">
        <v>15</v>
      </c>
      <c r="E61" s="165">
        <v>22.4</v>
      </c>
      <c r="F61" s="165">
        <v>19071.7</v>
      </c>
      <c r="G61" s="165">
        <v>875</v>
      </c>
      <c r="H61" s="165">
        <v>0.28000000000000003</v>
      </c>
      <c r="I61" s="164">
        <f t="shared" si="0"/>
        <v>5488.0000000000009</v>
      </c>
      <c r="J61" s="165">
        <v>0</v>
      </c>
      <c r="K61" s="164">
        <f t="shared" si="1"/>
        <v>0</v>
      </c>
      <c r="L61" s="165" t="s">
        <v>53</v>
      </c>
      <c r="M61" s="168" t="s">
        <v>54</v>
      </c>
      <c r="N61" s="164"/>
    </row>
    <row r="62" spans="1:14" ht="87.5" x14ac:dyDescent="0.35">
      <c r="A62" s="167" t="s">
        <v>89</v>
      </c>
      <c r="B62" s="165" t="s">
        <v>119</v>
      </c>
      <c r="C62" s="165" t="s">
        <v>20</v>
      </c>
      <c r="D62" s="165">
        <v>200</v>
      </c>
      <c r="E62" s="165">
        <v>284.7</v>
      </c>
      <c r="F62" s="165">
        <v>199797.5</v>
      </c>
      <c r="G62" s="165">
        <v>470</v>
      </c>
      <c r="H62" s="165">
        <v>0.2</v>
      </c>
      <c r="I62" s="164">
        <f t="shared" si="0"/>
        <v>26761.800000000003</v>
      </c>
      <c r="J62" s="165">
        <v>1.6</v>
      </c>
      <c r="K62" s="164">
        <f t="shared" si="1"/>
        <v>214094.40000000002</v>
      </c>
      <c r="L62" s="165" t="s">
        <v>53</v>
      </c>
      <c r="M62" s="168" t="s">
        <v>54</v>
      </c>
      <c r="N62" s="164"/>
    </row>
    <row r="63" spans="1:14" ht="52.5" x14ac:dyDescent="0.35">
      <c r="A63" s="167" t="s">
        <v>90</v>
      </c>
      <c r="B63" s="165" t="s">
        <v>91</v>
      </c>
      <c r="C63" s="165" t="s">
        <v>22</v>
      </c>
      <c r="D63" s="165">
        <v>25</v>
      </c>
      <c r="E63" s="165">
        <v>14.8</v>
      </c>
      <c r="F63" s="165">
        <v>7424.4</v>
      </c>
      <c r="G63" s="165">
        <v>474</v>
      </c>
      <c r="H63" s="165">
        <v>0.09</v>
      </c>
      <c r="I63" s="164">
        <f t="shared" si="0"/>
        <v>631.36800000000005</v>
      </c>
      <c r="J63" s="165">
        <v>1.6</v>
      </c>
      <c r="K63" s="164">
        <f t="shared" si="1"/>
        <v>11224.320000000002</v>
      </c>
      <c r="L63" s="165" t="s">
        <v>53</v>
      </c>
      <c r="M63" s="168" t="s">
        <v>54</v>
      </c>
      <c r="N63" s="164"/>
    </row>
    <row r="64" spans="1:14" ht="52.5" x14ac:dyDescent="0.35">
      <c r="A64" s="167" t="s">
        <v>94</v>
      </c>
      <c r="B64" s="165" t="s">
        <v>91</v>
      </c>
      <c r="C64" s="165" t="s">
        <v>28</v>
      </c>
      <c r="D64" s="165">
        <v>2</v>
      </c>
      <c r="E64" s="165">
        <v>1.2</v>
      </c>
      <c r="F64" s="165">
        <v>8553</v>
      </c>
      <c r="G64" s="165">
        <v>7850</v>
      </c>
      <c r="H64" s="165">
        <v>3.1</v>
      </c>
      <c r="I64" s="164">
        <f t="shared" si="0"/>
        <v>29202</v>
      </c>
      <c r="J64" s="165">
        <v>0</v>
      </c>
      <c r="K64" s="164">
        <f t="shared" si="1"/>
        <v>0</v>
      </c>
      <c r="L64" s="165" t="s">
        <v>53</v>
      </c>
      <c r="M64" s="168" t="s">
        <v>54</v>
      </c>
      <c r="N64" s="164"/>
    </row>
    <row r="65" spans="1:14" ht="122.5" x14ac:dyDescent="0.35">
      <c r="A65" s="167" t="s">
        <v>55</v>
      </c>
      <c r="B65" s="165" t="s">
        <v>88</v>
      </c>
      <c r="C65" s="165" t="s">
        <v>56</v>
      </c>
      <c r="D65" s="165">
        <v>100</v>
      </c>
      <c r="E65" s="165">
        <v>6</v>
      </c>
      <c r="F65" s="165">
        <v>14181.2</v>
      </c>
      <c r="G65" s="165">
        <v>2363</v>
      </c>
      <c r="H65" s="165">
        <v>0.14000000000000001</v>
      </c>
      <c r="I65" s="164">
        <f t="shared" si="0"/>
        <v>1984.9200000000003</v>
      </c>
      <c r="J65" s="165">
        <v>0</v>
      </c>
      <c r="K65" s="164">
        <f t="shared" si="1"/>
        <v>0</v>
      </c>
      <c r="L65" s="165" t="s">
        <v>53</v>
      </c>
      <c r="M65" s="168" t="s">
        <v>57</v>
      </c>
      <c r="N65" s="164"/>
    </row>
    <row r="66" spans="1:14" ht="122.5" x14ac:dyDescent="0.35">
      <c r="A66" s="167" t="s">
        <v>50</v>
      </c>
      <c r="B66" s="165" t="s">
        <v>88</v>
      </c>
      <c r="C66" s="165" t="s">
        <v>52</v>
      </c>
      <c r="D66" s="165">
        <v>140</v>
      </c>
      <c r="E66" s="165">
        <v>8.3000000000000007</v>
      </c>
      <c r="F66" s="165">
        <v>4163.8</v>
      </c>
      <c r="G66" s="165">
        <v>61</v>
      </c>
      <c r="H66" s="165">
        <v>1.5</v>
      </c>
      <c r="I66" s="164">
        <f t="shared" si="0"/>
        <v>759.45</v>
      </c>
      <c r="J66" s="165">
        <v>0</v>
      </c>
      <c r="K66" s="164">
        <f t="shared" si="1"/>
        <v>0</v>
      </c>
      <c r="L66" s="165" t="s">
        <v>53</v>
      </c>
      <c r="M66" s="168" t="s">
        <v>54</v>
      </c>
      <c r="N66" s="164"/>
    </row>
    <row r="67" spans="1:14" ht="122.5" x14ac:dyDescent="0.35">
      <c r="A67" s="167" t="s">
        <v>58</v>
      </c>
      <c r="B67" s="165" t="s">
        <v>88</v>
      </c>
      <c r="C67" s="165" t="s">
        <v>32</v>
      </c>
      <c r="D67" s="165">
        <v>300</v>
      </c>
      <c r="E67" s="165">
        <v>16.7</v>
      </c>
      <c r="F67" s="165">
        <v>40079.599999999999</v>
      </c>
      <c r="G67" s="165">
        <v>2400</v>
      </c>
      <c r="H67" s="165">
        <v>0.19</v>
      </c>
      <c r="I67" s="164">
        <f t="shared" si="0"/>
        <v>7615.2</v>
      </c>
      <c r="J67" s="165">
        <v>0</v>
      </c>
      <c r="K67" s="164">
        <f t="shared" si="1"/>
        <v>0</v>
      </c>
      <c r="L67" s="165" t="s">
        <v>53</v>
      </c>
      <c r="M67" s="168" t="s">
        <v>54</v>
      </c>
      <c r="N67" s="164"/>
    </row>
    <row r="68" spans="1:14" ht="105" x14ac:dyDescent="0.35">
      <c r="A68" s="167" t="s">
        <v>55</v>
      </c>
      <c r="B68" s="165" t="s">
        <v>51</v>
      </c>
      <c r="C68" s="165" t="s">
        <v>56</v>
      </c>
      <c r="D68" s="165">
        <v>70</v>
      </c>
      <c r="E68" s="165">
        <v>0</v>
      </c>
      <c r="F68" s="165">
        <v>0</v>
      </c>
      <c r="G68" s="165">
        <v>2363</v>
      </c>
      <c r="H68" s="165">
        <v>0.14000000000000001</v>
      </c>
      <c r="I68" s="164">
        <f t="shared" si="0"/>
        <v>0</v>
      </c>
      <c r="J68" s="165">
        <v>0</v>
      </c>
      <c r="K68" s="164">
        <f t="shared" si="1"/>
        <v>0</v>
      </c>
      <c r="L68" s="165" t="s">
        <v>53</v>
      </c>
      <c r="M68" s="168" t="s">
        <v>57</v>
      </c>
      <c r="N68" s="164"/>
    </row>
    <row r="69" spans="1:14" ht="105" x14ac:dyDescent="0.35">
      <c r="A69" s="167" t="s">
        <v>50</v>
      </c>
      <c r="B69" s="165" t="s">
        <v>51</v>
      </c>
      <c r="C69" s="165" t="s">
        <v>52</v>
      </c>
      <c r="D69" s="165">
        <v>250</v>
      </c>
      <c r="E69" s="165">
        <v>0</v>
      </c>
      <c r="F69" s="165">
        <v>0</v>
      </c>
      <c r="G69" s="165">
        <v>61</v>
      </c>
      <c r="H69" s="165">
        <v>1.5</v>
      </c>
      <c r="I69" s="164">
        <f t="shared" si="0"/>
        <v>0</v>
      </c>
      <c r="J69" s="165">
        <v>0</v>
      </c>
      <c r="K69" s="164">
        <f t="shared" si="1"/>
        <v>0</v>
      </c>
      <c r="L69" s="165" t="s">
        <v>53</v>
      </c>
      <c r="M69" s="168" t="s">
        <v>54</v>
      </c>
      <c r="N69" s="164"/>
    </row>
    <row r="70" spans="1:14" ht="105" x14ac:dyDescent="0.35">
      <c r="A70" s="167" t="s">
        <v>58</v>
      </c>
      <c r="B70" s="165" t="s">
        <v>51</v>
      </c>
      <c r="C70" s="165" t="s">
        <v>32</v>
      </c>
      <c r="D70" s="165">
        <v>150</v>
      </c>
      <c r="E70" s="165">
        <v>0</v>
      </c>
      <c r="F70" s="165">
        <v>0</v>
      </c>
      <c r="G70" s="165">
        <v>2400</v>
      </c>
      <c r="H70" s="165">
        <v>0.19</v>
      </c>
      <c r="I70" s="164">
        <f t="shared" si="0"/>
        <v>0</v>
      </c>
      <c r="J70" s="165">
        <v>0</v>
      </c>
      <c r="K70" s="164">
        <f t="shared" si="1"/>
        <v>0</v>
      </c>
      <c r="L70" s="165" t="s">
        <v>53</v>
      </c>
      <c r="M70" s="168" t="s">
        <v>54</v>
      </c>
      <c r="N70" s="164"/>
    </row>
    <row r="71" spans="1:14" ht="52.5" x14ac:dyDescent="0.35">
      <c r="A71" s="167" t="s">
        <v>70</v>
      </c>
      <c r="B71" s="165" t="s">
        <v>60</v>
      </c>
      <c r="C71" s="165" t="s">
        <v>71</v>
      </c>
      <c r="D71" s="165">
        <v>25</v>
      </c>
      <c r="E71" s="165">
        <v>1.4</v>
      </c>
      <c r="F71" s="165">
        <v>296</v>
      </c>
      <c r="G71" s="165">
        <v>60</v>
      </c>
      <c r="H71" s="165">
        <v>1.02</v>
      </c>
      <c r="I71" s="164">
        <f t="shared" si="0"/>
        <v>85.68</v>
      </c>
      <c r="J71" s="165">
        <v>1.1000000000000001</v>
      </c>
      <c r="K71" s="164">
        <f t="shared" si="1"/>
        <v>92.4</v>
      </c>
      <c r="L71" s="165" t="s">
        <v>53</v>
      </c>
      <c r="M71" s="168" t="s">
        <v>54</v>
      </c>
      <c r="N71" s="164"/>
    </row>
    <row r="72" spans="1:14" ht="52.5" x14ac:dyDescent="0.35">
      <c r="A72" s="167" t="s">
        <v>59</v>
      </c>
      <c r="B72" s="165" t="s">
        <v>60</v>
      </c>
      <c r="C72" s="165" t="s">
        <v>61</v>
      </c>
      <c r="D72" s="165">
        <v>32</v>
      </c>
      <c r="E72" s="165">
        <v>1.8</v>
      </c>
      <c r="F72" s="165">
        <v>2.2000000000000002</v>
      </c>
      <c r="G72" s="165">
        <v>0</v>
      </c>
      <c r="H72" s="165">
        <v>0</v>
      </c>
      <c r="I72" s="164">
        <f t="shared" si="0"/>
        <v>0</v>
      </c>
      <c r="J72" s="165">
        <v>0</v>
      </c>
      <c r="K72" s="164">
        <f t="shared" si="1"/>
        <v>0</v>
      </c>
      <c r="L72" s="165" t="s">
        <v>53</v>
      </c>
      <c r="M72" s="168" t="s">
        <v>57</v>
      </c>
      <c r="N72" s="164"/>
    </row>
    <row r="73" spans="1:14" ht="52.5" x14ac:dyDescent="0.35">
      <c r="A73" s="167" t="s">
        <v>78</v>
      </c>
      <c r="B73" s="165" t="s">
        <v>60</v>
      </c>
      <c r="C73" s="165" t="s">
        <v>26</v>
      </c>
      <c r="D73" s="165">
        <v>28</v>
      </c>
      <c r="E73" s="165">
        <v>1.6</v>
      </c>
      <c r="F73" s="165">
        <v>1160.5999999999999</v>
      </c>
      <c r="G73" s="165">
        <v>474</v>
      </c>
      <c r="H73" s="165">
        <v>0.09</v>
      </c>
      <c r="I73" s="164">
        <f t="shared" si="0"/>
        <v>68.256</v>
      </c>
      <c r="J73" s="165">
        <v>1.6</v>
      </c>
      <c r="K73" s="164">
        <f t="shared" si="1"/>
        <v>1213.4400000000003</v>
      </c>
      <c r="L73" s="165" t="s">
        <v>53</v>
      </c>
      <c r="M73" s="168" t="s">
        <v>57</v>
      </c>
      <c r="N73" s="164"/>
    </row>
    <row r="74" spans="1:14" ht="70" x14ac:dyDescent="0.35">
      <c r="A74" s="167" t="s">
        <v>50</v>
      </c>
      <c r="B74" s="165" t="s">
        <v>127</v>
      </c>
      <c r="C74" s="165" t="s">
        <v>52</v>
      </c>
      <c r="D74" s="165">
        <v>175</v>
      </c>
      <c r="E74" s="165">
        <v>193</v>
      </c>
      <c r="F74" s="165">
        <v>96701.5</v>
      </c>
      <c r="G74" s="165">
        <v>61</v>
      </c>
      <c r="H74" s="165">
        <v>1.5</v>
      </c>
      <c r="I74" s="164">
        <f t="shared" si="0"/>
        <v>17659.5</v>
      </c>
      <c r="J74" s="165">
        <v>0</v>
      </c>
      <c r="K74" s="164">
        <f t="shared" si="1"/>
        <v>0</v>
      </c>
      <c r="L74" s="165" t="s">
        <v>53</v>
      </c>
      <c r="M74" s="168" t="s">
        <v>54</v>
      </c>
      <c r="N74" s="164"/>
    </row>
    <row r="75" spans="1:14" ht="70" x14ac:dyDescent="0.35">
      <c r="A75" s="167" t="s">
        <v>59</v>
      </c>
      <c r="B75" s="165" t="s">
        <v>127</v>
      </c>
      <c r="C75" s="165" t="s">
        <v>61</v>
      </c>
      <c r="D75" s="165">
        <v>32</v>
      </c>
      <c r="E75" s="165">
        <v>35.5</v>
      </c>
      <c r="F75" s="165">
        <v>43</v>
      </c>
      <c r="G75" s="165">
        <v>0</v>
      </c>
      <c r="H75" s="165">
        <v>0</v>
      </c>
      <c r="I75" s="164">
        <f t="shared" si="0"/>
        <v>0</v>
      </c>
      <c r="J75" s="165">
        <v>0</v>
      </c>
      <c r="K75" s="164">
        <f t="shared" si="1"/>
        <v>0</v>
      </c>
      <c r="L75" s="165" t="s">
        <v>53</v>
      </c>
      <c r="M75" s="168" t="s">
        <v>57</v>
      </c>
      <c r="N75" s="164"/>
    </row>
    <row r="76" spans="1:14" ht="70" x14ac:dyDescent="0.35">
      <c r="A76" s="167" t="s">
        <v>79</v>
      </c>
      <c r="B76" s="165" t="s">
        <v>127</v>
      </c>
      <c r="C76" s="165" t="s">
        <v>15</v>
      </c>
      <c r="D76" s="165">
        <v>15</v>
      </c>
      <c r="E76" s="165">
        <v>12.3</v>
      </c>
      <c r="F76" s="165">
        <v>11349.6</v>
      </c>
      <c r="G76" s="165">
        <v>875</v>
      </c>
      <c r="H76" s="165">
        <v>0.28000000000000003</v>
      </c>
      <c r="I76" s="164">
        <f t="shared" si="0"/>
        <v>3013.5000000000005</v>
      </c>
      <c r="J76" s="165">
        <v>0</v>
      </c>
      <c r="K76" s="164">
        <f t="shared" si="1"/>
        <v>0</v>
      </c>
      <c r="L76" s="165" t="s">
        <v>53</v>
      </c>
      <c r="M76" s="168" t="s">
        <v>57</v>
      </c>
      <c r="N76" s="164"/>
    </row>
    <row r="77" spans="1:14" ht="70" x14ac:dyDescent="0.35">
      <c r="A77" s="167" t="s">
        <v>89</v>
      </c>
      <c r="B77" s="165" t="s">
        <v>127</v>
      </c>
      <c r="C77" s="165" t="s">
        <v>20</v>
      </c>
      <c r="D77" s="165">
        <v>200</v>
      </c>
      <c r="E77" s="165">
        <v>217</v>
      </c>
      <c r="F77" s="165">
        <v>151482.79999999999</v>
      </c>
      <c r="G77" s="165">
        <v>470</v>
      </c>
      <c r="H77" s="165">
        <v>0.2</v>
      </c>
      <c r="I77" s="164">
        <f t="shared" si="0"/>
        <v>20398</v>
      </c>
      <c r="J77" s="165">
        <v>1.6</v>
      </c>
      <c r="K77" s="164">
        <f t="shared" si="1"/>
        <v>163184</v>
      </c>
      <c r="L77" s="165" t="s">
        <v>53</v>
      </c>
      <c r="M77" s="168" t="s">
        <v>54</v>
      </c>
      <c r="N77" s="164"/>
    </row>
    <row r="78" spans="1:14" ht="70" x14ac:dyDescent="0.35">
      <c r="A78" s="167" t="s">
        <v>78</v>
      </c>
      <c r="B78" s="165" t="s">
        <v>127</v>
      </c>
      <c r="C78" s="165" t="s">
        <v>26</v>
      </c>
      <c r="D78" s="165">
        <v>28</v>
      </c>
      <c r="E78" s="165">
        <v>31.5</v>
      </c>
      <c r="F78" s="165">
        <v>21979.5</v>
      </c>
      <c r="G78" s="165">
        <v>474</v>
      </c>
      <c r="H78" s="165">
        <v>0.09</v>
      </c>
      <c r="I78" s="164">
        <f t="shared" si="0"/>
        <v>1343.79</v>
      </c>
      <c r="J78" s="165">
        <v>1.6</v>
      </c>
      <c r="K78" s="164">
        <f t="shared" si="1"/>
        <v>23889.600000000002</v>
      </c>
      <c r="L78" s="165" t="s">
        <v>53</v>
      </c>
      <c r="M78" s="168" t="s">
        <v>57</v>
      </c>
      <c r="N78" s="164"/>
    </row>
    <row r="79" spans="1:14" ht="70" x14ac:dyDescent="0.35">
      <c r="A79" s="167" t="s">
        <v>95</v>
      </c>
      <c r="B79" s="165" t="s">
        <v>106</v>
      </c>
      <c r="C79" s="165" t="s">
        <v>30</v>
      </c>
      <c r="D79" s="165">
        <v>440</v>
      </c>
      <c r="E79" s="165">
        <v>31.6</v>
      </c>
      <c r="F79" s="165">
        <v>75898.3</v>
      </c>
      <c r="G79" s="165">
        <v>2375</v>
      </c>
      <c r="H79" s="165">
        <v>0.15</v>
      </c>
      <c r="I79" s="164">
        <f t="shared" ref="I79:I90" si="2">(G79*E79)*H79</f>
        <v>11257.5</v>
      </c>
      <c r="J79" s="165">
        <v>0</v>
      </c>
      <c r="K79" s="164">
        <f t="shared" ref="K79:K90" si="3">(G79*E79)*J79</f>
        <v>0</v>
      </c>
      <c r="L79" s="165" t="s">
        <v>53</v>
      </c>
      <c r="M79" s="168" t="s">
        <v>54</v>
      </c>
      <c r="N79" s="164"/>
    </row>
    <row r="80" spans="1:14" ht="52.5" x14ac:dyDescent="0.35">
      <c r="A80" s="167" t="s">
        <v>72</v>
      </c>
      <c r="B80" s="165" t="s">
        <v>77</v>
      </c>
      <c r="C80" s="165" t="s">
        <v>74</v>
      </c>
      <c r="D80" s="165">
        <v>140</v>
      </c>
      <c r="E80" s="165">
        <v>37.6</v>
      </c>
      <c r="F80" s="165">
        <v>1051.9000000000001</v>
      </c>
      <c r="G80" s="165">
        <v>16</v>
      </c>
      <c r="H80" s="165">
        <v>3.5</v>
      </c>
      <c r="I80" s="164">
        <f t="shared" si="2"/>
        <v>2105.6</v>
      </c>
      <c r="J80" s="165">
        <v>0</v>
      </c>
      <c r="K80" s="164">
        <f t="shared" si="3"/>
        <v>0</v>
      </c>
      <c r="L80" s="165" t="s">
        <v>53</v>
      </c>
      <c r="M80" s="168" t="s">
        <v>54</v>
      </c>
      <c r="N80" s="164"/>
    </row>
    <row r="81" spans="1:14" ht="70" x14ac:dyDescent="0.35">
      <c r="A81" s="167" t="s">
        <v>95</v>
      </c>
      <c r="B81" s="165" t="s">
        <v>77</v>
      </c>
      <c r="C81" s="165" t="s">
        <v>30</v>
      </c>
      <c r="D81" s="165">
        <v>100</v>
      </c>
      <c r="E81" s="165">
        <v>27.1</v>
      </c>
      <c r="F81" s="165">
        <v>65022.3</v>
      </c>
      <c r="G81" s="165">
        <v>2375</v>
      </c>
      <c r="H81" s="165">
        <v>0.15</v>
      </c>
      <c r="I81" s="164">
        <f t="shared" si="2"/>
        <v>9654.375</v>
      </c>
      <c r="J81" s="165">
        <v>0</v>
      </c>
      <c r="K81" s="164">
        <f t="shared" si="3"/>
        <v>0</v>
      </c>
      <c r="L81" s="165" t="s">
        <v>53</v>
      </c>
      <c r="M81" s="168" t="s">
        <v>54</v>
      </c>
      <c r="N81" s="164"/>
    </row>
    <row r="82" spans="1:14" ht="70" x14ac:dyDescent="0.35">
      <c r="A82" s="167" t="s">
        <v>95</v>
      </c>
      <c r="B82" s="165" t="s">
        <v>77</v>
      </c>
      <c r="C82" s="165" t="s">
        <v>30</v>
      </c>
      <c r="D82" s="165">
        <v>200</v>
      </c>
      <c r="E82" s="165">
        <v>52.8</v>
      </c>
      <c r="F82" s="165">
        <v>126664</v>
      </c>
      <c r="G82" s="165">
        <v>2375</v>
      </c>
      <c r="H82" s="165">
        <v>0.15</v>
      </c>
      <c r="I82" s="164">
        <f t="shared" si="2"/>
        <v>18810</v>
      </c>
      <c r="J82" s="165">
        <v>0</v>
      </c>
      <c r="K82" s="164">
        <f t="shared" si="3"/>
        <v>0</v>
      </c>
      <c r="L82" s="165" t="s">
        <v>53</v>
      </c>
      <c r="M82" s="168" t="s">
        <v>54</v>
      </c>
      <c r="N82" s="164"/>
    </row>
    <row r="83" spans="1:14" ht="70" x14ac:dyDescent="0.35">
      <c r="A83" s="167" t="s">
        <v>95</v>
      </c>
      <c r="B83" s="165" t="s">
        <v>107</v>
      </c>
      <c r="C83" s="165" t="s">
        <v>31</v>
      </c>
      <c r="D83" s="165">
        <v>270</v>
      </c>
      <c r="E83" s="165">
        <v>88.9</v>
      </c>
      <c r="F83" s="165">
        <v>115804.8</v>
      </c>
      <c r="G83" s="165">
        <v>1410</v>
      </c>
      <c r="H83" s="165">
        <v>0.17</v>
      </c>
      <c r="I83" s="164">
        <f t="shared" si="2"/>
        <v>21309.330000000005</v>
      </c>
      <c r="J83" s="165">
        <v>0</v>
      </c>
      <c r="K83" s="164">
        <f t="shared" si="3"/>
        <v>0</v>
      </c>
      <c r="L83" s="165" t="s">
        <v>53</v>
      </c>
      <c r="M83" s="168" t="s">
        <v>54</v>
      </c>
      <c r="N83" s="164"/>
    </row>
    <row r="84" spans="1:14" ht="70" x14ac:dyDescent="0.35">
      <c r="A84" s="167" t="s">
        <v>55</v>
      </c>
      <c r="B84" s="165" t="s">
        <v>73</v>
      </c>
      <c r="C84" s="165" t="s">
        <v>56</v>
      </c>
      <c r="D84" s="165">
        <v>150</v>
      </c>
      <c r="E84" s="165">
        <v>8.3000000000000007</v>
      </c>
      <c r="F84" s="165">
        <v>19539.400000000001</v>
      </c>
      <c r="G84" s="165">
        <v>2363</v>
      </c>
      <c r="H84" s="165">
        <v>0.14000000000000001</v>
      </c>
      <c r="I84" s="164">
        <f t="shared" si="2"/>
        <v>2745.8060000000005</v>
      </c>
      <c r="J84" s="165">
        <v>0</v>
      </c>
      <c r="K84" s="164">
        <f t="shared" si="3"/>
        <v>0</v>
      </c>
      <c r="L84" s="165" t="s">
        <v>53</v>
      </c>
      <c r="M84" s="168" t="s">
        <v>57</v>
      </c>
      <c r="N84" s="164"/>
    </row>
    <row r="85" spans="1:14" ht="70" x14ac:dyDescent="0.35">
      <c r="A85" s="167" t="s">
        <v>72</v>
      </c>
      <c r="B85" s="165" t="s">
        <v>73</v>
      </c>
      <c r="C85" s="165" t="s">
        <v>74</v>
      </c>
      <c r="D85" s="165">
        <v>250</v>
      </c>
      <c r="E85" s="165">
        <v>13.9</v>
      </c>
      <c r="F85" s="165">
        <v>388.1</v>
      </c>
      <c r="G85" s="165">
        <v>16</v>
      </c>
      <c r="H85" s="165">
        <v>3.5</v>
      </c>
      <c r="I85" s="164">
        <f t="shared" si="2"/>
        <v>778.4</v>
      </c>
      <c r="J85" s="165">
        <v>0</v>
      </c>
      <c r="K85" s="164">
        <f t="shared" si="3"/>
        <v>0</v>
      </c>
      <c r="L85" s="165" t="s">
        <v>53</v>
      </c>
      <c r="M85" s="168" t="s">
        <v>54</v>
      </c>
      <c r="N85" s="164"/>
    </row>
    <row r="86" spans="1:14" ht="52.5" x14ac:dyDescent="0.35">
      <c r="A86" s="167" t="s">
        <v>55</v>
      </c>
      <c r="B86" s="165" t="s">
        <v>84</v>
      </c>
      <c r="C86" s="165" t="s">
        <v>56</v>
      </c>
      <c r="D86" s="165">
        <v>100</v>
      </c>
      <c r="E86" s="165">
        <v>34.700000000000003</v>
      </c>
      <c r="F86" s="165">
        <v>81845.100000000006</v>
      </c>
      <c r="G86" s="165">
        <v>2363</v>
      </c>
      <c r="H86" s="165">
        <v>0.14000000000000001</v>
      </c>
      <c r="I86" s="164">
        <f t="shared" si="2"/>
        <v>11479.454000000002</v>
      </c>
      <c r="J86" s="165">
        <v>0</v>
      </c>
      <c r="K86" s="164">
        <f t="shared" si="3"/>
        <v>0</v>
      </c>
      <c r="L86" s="165" t="s">
        <v>53</v>
      </c>
      <c r="M86" s="168" t="s">
        <v>57</v>
      </c>
      <c r="N86" s="164"/>
    </row>
    <row r="87" spans="1:14" ht="52.5" x14ac:dyDescent="0.35">
      <c r="A87" s="167" t="s">
        <v>72</v>
      </c>
      <c r="B87" s="165" t="s">
        <v>84</v>
      </c>
      <c r="C87" s="165" t="s">
        <v>74</v>
      </c>
      <c r="D87" s="165">
        <v>300</v>
      </c>
      <c r="E87" s="165">
        <v>104.5</v>
      </c>
      <c r="F87" s="165">
        <v>2917.9</v>
      </c>
      <c r="G87" s="165">
        <v>16</v>
      </c>
      <c r="H87" s="165">
        <v>3.5</v>
      </c>
      <c r="I87" s="164">
        <f t="shared" si="2"/>
        <v>5852</v>
      </c>
      <c r="J87" s="165">
        <v>0</v>
      </c>
      <c r="K87" s="164">
        <f t="shared" si="3"/>
        <v>0</v>
      </c>
      <c r="L87" s="165" t="s">
        <v>53</v>
      </c>
      <c r="M87" s="168" t="s">
        <v>54</v>
      </c>
      <c r="N87" s="164"/>
    </row>
    <row r="88" spans="1:14" ht="70" x14ac:dyDescent="0.35">
      <c r="A88" s="167" t="s">
        <v>58</v>
      </c>
      <c r="B88" s="165" t="s">
        <v>166</v>
      </c>
      <c r="C88" s="165" t="s">
        <v>32</v>
      </c>
      <c r="D88" s="165">
        <v>540</v>
      </c>
      <c r="E88" s="165">
        <v>17.600000000000001</v>
      </c>
      <c r="F88" s="165">
        <v>42896.4</v>
      </c>
      <c r="G88" s="165">
        <v>2400</v>
      </c>
      <c r="H88" s="165">
        <v>0.19</v>
      </c>
      <c r="I88" s="164">
        <f t="shared" si="2"/>
        <v>8025.6</v>
      </c>
      <c r="J88" s="165">
        <v>0</v>
      </c>
      <c r="K88" s="164">
        <f t="shared" si="3"/>
        <v>0</v>
      </c>
      <c r="L88" s="165" t="s">
        <v>53</v>
      </c>
      <c r="M88" s="168" t="s">
        <v>54</v>
      </c>
      <c r="N88" s="164"/>
    </row>
    <row r="89" spans="1:14" ht="70" x14ac:dyDescent="0.35">
      <c r="A89" s="167" t="s">
        <v>58</v>
      </c>
      <c r="B89" s="165" t="s">
        <v>166</v>
      </c>
      <c r="C89" s="165" t="s">
        <v>32</v>
      </c>
      <c r="D89" s="165">
        <v>740</v>
      </c>
      <c r="E89" s="165">
        <v>20.399999999999999</v>
      </c>
      <c r="F89" s="165">
        <v>49174.7</v>
      </c>
      <c r="G89" s="165">
        <v>2400</v>
      </c>
      <c r="H89" s="165">
        <v>0.19</v>
      </c>
      <c r="I89" s="164">
        <f t="shared" si="2"/>
        <v>9302.4</v>
      </c>
      <c r="J89" s="165">
        <v>0</v>
      </c>
      <c r="K89" s="164">
        <f t="shared" si="3"/>
        <v>0</v>
      </c>
      <c r="L89" s="165" t="s">
        <v>53</v>
      </c>
      <c r="M89" s="168" t="s">
        <v>54</v>
      </c>
      <c r="N89" s="164"/>
    </row>
    <row r="90" spans="1:14" ht="52.5" x14ac:dyDescent="0.35">
      <c r="A90" s="167" t="s">
        <v>81</v>
      </c>
      <c r="B90" s="165" t="s">
        <v>82</v>
      </c>
      <c r="C90" s="165" t="s">
        <v>18</v>
      </c>
      <c r="D90" s="165">
        <v>5</v>
      </c>
      <c r="E90" s="165">
        <v>0</v>
      </c>
      <c r="F90" s="165">
        <v>1523.5</v>
      </c>
      <c r="G90" s="165">
        <v>1620</v>
      </c>
      <c r="H90" s="165">
        <v>0.16</v>
      </c>
      <c r="I90" s="164">
        <f t="shared" si="2"/>
        <v>0</v>
      </c>
      <c r="J90" s="165">
        <v>0</v>
      </c>
      <c r="K90" s="164">
        <f t="shared" si="3"/>
        <v>0</v>
      </c>
      <c r="L90" s="165" t="s">
        <v>53</v>
      </c>
      <c r="M90" s="168" t="s">
        <v>83</v>
      </c>
      <c r="N90" s="164"/>
    </row>
    <row r="91" spans="1:14" ht="17.5" x14ac:dyDescent="0.35">
      <c r="A91" s="165" t="s">
        <v>109</v>
      </c>
      <c r="B91" s="165" t="s">
        <v>109</v>
      </c>
      <c r="C91" s="165" t="s">
        <v>109</v>
      </c>
      <c r="D91" s="165" t="s">
        <v>109</v>
      </c>
      <c r="E91" s="165">
        <v>2867</v>
      </c>
      <c r="F91" s="165" t="s">
        <v>109</v>
      </c>
      <c r="G91" s="165" t="s">
        <v>109</v>
      </c>
      <c r="H91" s="165">
        <v>2867</v>
      </c>
      <c r="I91" s="164">
        <f>SUM(I15:I90)</f>
        <v>389412.45800000004</v>
      </c>
      <c r="J91" s="164"/>
      <c r="K91" s="164">
        <f t="shared" ref="K91" si="4">SUM(K15:K90)</f>
        <v>746458.15999999992</v>
      </c>
      <c r="L91" s="165" t="s">
        <v>109</v>
      </c>
      <c r="M91" s="165" t="s">
        <v>109</v>
      </c>
      <c r="N91" s="164"/>
    </row>
    <row r="92" spans="1:14" ht="15.5" x14ac:dyDescent="0.35">
      <c r="A92" s="164"/>
      <c r="B92" s="164"/>
      <c r="C92" s="164"/>
      <c r="D92" s="164"/>
      <c r="E92" s="164"/>
      <c r="F92" s="164"/>
      <c r="G92" s="164"/>
      <c r="H92" s="164"/>
      <c r="I92" s="164"/>
      <c r="J92" s="164"/>
      <c r="K92" s="164"/>
      <c r="L92" s="164"/>
      <c r="M92" s="164"/>
      <c r="N92" s="164"/>
    </row>
    <row r="93" spans="1:14" ht="15.5" x14ac:dyDescent="0.35">
      <c r="A93" s="164"/>
      <c r="B93" s="164"/>
      <c r="C93" s="164"/>
      <c r="D93" s="164"/>
      <c r="E93" s="164"/>
      <c r="F93" s="164"/>
      <c r="G93" s="164"/>
      <c r="H93" s="164"/>
      <c r="I93" s="164"/>
      <c r="J93" s="169">
        <f>I91-K91</f>
        <v>-357045.70199999987</v>
      </c>
      <c r="K93" s="164" t="s">
        <v>44</v>
      </c>
      <c r="L93" s="164"/>
      <c r="M93" s="164"/>
      <c r="N93" s="164"/>
    </row>
    <row r="94" spans="1:14" ht="15.5" x14ac:dyDescent="0.35">
      <c r="A94" s="164"/>
      <c r="B94" s="164"/>
      <c r="C94" s="164"/>
      <c r="D94" s="164"/>
      <c r="E94" s="164"/>
      <c r="F94" s="164"/>
      <c r="G94" s="164"/>
      <c r="H94" s="164"/>
      <c r="I94" s="164"/>
      <c r="J94" s="169">
        <f>J93/1000</f>
        <v>-357.04570199999989</v>
      </c>
      <c r="K94" s="164" t="s">
        <v>110</v>
      </c>
      <c r="L94" s="164"/>
      <c r="M94" s="164"/>
      <c r="N94" s="164"/>
    </row>
  </sheetData>
  <mergeCells count="1">
    <mergeCell ref="A12:K12"/>
  </mergeCells>
  <pageMargins left="0.7" right="0.7" top="0.75" bottom="0.75" header="0.3" footer="0.3"/>
  <pageSetup paperSize="9" orientation="portrait" verticalDpi="0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FA294A-4DD3-4529-A46A-883D5DC7A773}">
  <dimension ref="A1:M91"/>
  <sheetViews>
    <sheetView topLeftCell="A37" workbookViewId="0">
      <selection sqref="A1:M91"/>
    </sheetView>
  </sheetViews>
  <sheetFormatPr defaultRowHeight="14.5" x14ac:dyDescent="0.35"/>
  <cols>
    <col min="4" max="5" width="8.81640625" bestFit="1" customWidth="1"/>
    <col min="6" max="6" width="9.7265625" bestFit="1" customWidth="1"/>
    <col min="7" max="11" width="8.81640625" bestFit="1" customWidth="1"/>
  </cols>
  <sheetData>
    <row r="1" spans="1:13" ht="17.5" x14ac:dyDescent="0.45">
      <c r="A1" s="163" t="s">
        <v>347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4"/>
      <c r="M1" s="4"/>
    </row>
    <row r="2" spans="1:13" ht="17.5" x14ac:dyDescent="0.45">
      <c r="A2" s="163"/>
      <c r="B2" s="163"/>
      <c r="C2" s="163"/>
      <c r="D2" s="163"/>
      <c r="E2" s="163"/>
      <c r="F2" s="163"/>
      <c r="G2" s="163"/>
      <c r="H2" s="163"/>
      <c r="I2" s="163"/>
      <c r="J2" s="163"/>
      <c r="K2" s="163"/>
      <c r="L2" s="4"/>
      <c r="M2" s="4"/>
    </row>
    <row r="3" spans="1:13" ht="17.5" x14ac:dyDescent="0.35">
      <c r="A3" s="266" t="s">
        <v>268</v>
      </c>
      <c r="B3" s="266"/>
      <c r="C3" s="266"/>
      <c r="D3" s="266"/>
      <c r="E3" s="266"/>
      <c r="F3" s="266"/>
      <c r="G3" s="266"/>
      <c r="H3" s="266"/>
      <c r="I3" s="266"/>
      <c r="J3" s="266"/>
      <c r="K3" s="266"/>
      <c r="L3" s="164"/>
      <c r="M3" s="164"/>
    </row>
    <row r="4" spans="1:13" ht="87.5" x14ac:dyDescent="0.35">
      <c r="A4" s="165" t="s">
        <v>36</v>
      </c>
      <c r="B4" s="165" t="s">
        <v>37</v>
      </c>
      <c r="C4" s="165" t="s">
        <v>38</v>
      </c>
      <c r="D4" s="165" t="s">
        <v>39</v>
      </c>
      <c r="E4" s="165" t="s">
        <v>40</v>
      </c>
      <c r="F4" s="165" t="s">
        <v>41</v>
      </c>
      <c r="G4" s="165" t="s">
        <v>42</v>
      </c>
      <c r="H4" s="165" t="s">
        <v>43</v>
      </c>
      <c r="I4" s="166"/>
      <c r="J4" s="165" t="s">
        <v>45</v>
      </c>
      <c r="K4" s="166"/>
      <c r="L4" s="165" t="s">
        <v>152</v>
      </c>
      <c r="M4" s="165" t="s">
        <v>47</v>
      </c>
    </row>
    <row r="5" spans="1:13" ht="52.5" x14ac:dyDescent="0.35">
      <c r="A5" s="167" t="s">
        <v>36</v>
      </c>
      <c r="B5" s="165" t="s">
        <v>37</v>
      </c>
      <c r="C5" s="165" t="s">
        <v>38</v>
      </c>
      <c r="D5" s="165" t="s">
        <v>265</v>
      </c>
      <c r="E5" s="165" t="s">
        <v>264</v>
      </c>
      <c r="F5" s="165" t="s">
        <v>113</v>
      </c>
      <c r="G5" s="165" t="s">
        <v>114</v>
      </c>
      <c r="H5" s="165" t="s">
        <v>115</v>
      </c>
      <c r="I5" s="164" t="s">
        <v>44</v>
      </c>
      <c r="J5" s="165" t="s">
        <v>116</v>
      </c>
      <c r="K5" s="164" t="s">
        <v>117</v>
      </c>
      <c r="L5" s="165" t="s">
        <v>152</v>
      </c>
      <c r="M5" s="168" t="s">
        <v>263</v>
      </c>
    </row>
    <row r="6" spans="1:13" ht="87.5" x14ac:dyDescent="0.35">
      <c r="A6" s="167" t="s">
        <v>89</v>
      </c>
      <c r="B6" s="165" t="s">
        <v>92</v>
      </c>
      <c r="C6" s="165" t="s">
        <v>20</v>
      </c>
      <c r="D6" s="165">
        <v>80</v>
      </c>
      <c r="E6" s="165">
        <v>34.6</v>
      </c>
      <c r="F6" s="165">
        <v>24226.7</v>
      </c>
      <c r="G6" s="165">
        <v>470</v>
      </c>
      <c r="H6" s="165">
        <v>0.2</v>
      </c>
      <c r="I6" s="164">
        <f t="shared" ref="I6:I69" si="0">(G6*E6)*H6</f>
        <v>3252.4</v>
      </c>
      <c r="J6" s="165">
        <v>1.6</v>
      </c>
      <c r="K6" s="164">
        <f t="shared" ref="K6:K69" si="1">(G6*E6)*J6</f>
        <v>26019.200000000001</v>
      </c>
      <c r="L6" s="165" t="s">
        <v>53</v>
      </c>
      <c r="M6" s="168" t="s">
        <v>54</v>
      </c>
    </row>
    <row r="7" spans="1:13" ht="87.5" x14ac:dyDescent="0.35">
      <c r="A7" s="167" t="s">
        <v>75</v>
      </c>
      <c r="B7" s="165" t="s">
        <v>92</v>
      </c>
      <c r="C7" s="165" t="s">
        <v>76</v>
      </c>
      <c r="D7" s="165">
        <v>450</v>
      </c>
      <c r="E7" s="165">
        <v>194.7</v>
      </c>
      <c r="F7" s="165">
        <v>7787.1</v>
      </c>
      <c r="G7" s="165">
        <v>33</v>
      </c>
      <c r="H7" s="165">
        <v>1.5</v>
      </c>
      <c r="I7" s="164">
        <f t="shared" si="0"/>
        <v>9637.65</v>
      </c>
      <c r="J7" s="165">
        <v>0</v>
      </c>
      <c r="K7" s="164">
        <f t="shared" si="1"/>
        <v>0</v>
      </c>
      <c r="L7" s="165" t="s">
        <v>53</v>
      </c>
      <c r="M7" s="168" t="s">
        <v>57</v>
      </c>
    </row>
    <row r="8" spans="1:13" ht="87.5" x14ac:dyDescent="0.35">
      <c r="A8" s="167" t="s">
        <v>98</v>
      </c>
      <c r="B8" s="165" t="s">
        <v>99</v>
      </c>
      <c r="C8" s="165" t="s">
        <v>100</v>
      </c>
      <c r="D8" s="165">
        <v>125</v>
      </c>
      <c r="E8" s="165">
        <v>11.4</v>
      </c>
      <c r="F8" s="165">
        <v>16007.9</v>
      </c>
      <c r="G8" s="165">
        <v>644</v>
      </c>
      <c r="H8" s="165">
        <v>0.26</v>
      </c>
      <c r="I8" s="164">
        <f t="shared" si="0"/>
        <v>1908.8160000000003</v>
      </c>
      <c r="J8" s="165">
        <v>0</v>
      </c>
      <c r="K8" s="164">
        <f t="shared" si="1"/>
        <v>0</v>
      </c>
      <c r="L8" s="165" t="s">
        <v>53</v>
      </c>
      <c r="M8" s="168" t="s">
        <v>57</v>
      </c>
    </row>
    <row r="9" spans="1:13" ht="87.5" x14ac:dyDescent="0.35">
      <c r="A9" s="167" t="s">
        <v>58</v>
      </c>
      <c r="B9" s="165" t="s">
        <v>108</v>
      </c>
      <c r="C9" s="165" t="s">
        <v>32</v>
      </c>
      <c r="D9" s="165">
        <v>200</v>
      </c>
      <c r="E9" s="165">
        <v>64.2</v>
      </c>
      <c r="F9" s="165">
        <v>153606.1</v>
      </c>
      <c r="G9" s="165">
        <v>2400</v>
      </c>
      <c r="H9" s="165">
        <v>0.19</v>
      </c>
      <c r="I9" s="164">
        <f t="shared" si="0"/>
        <v>29275.200000000001</v>
      </c>
      <c r="J9" s="165">
        <v>0</v>
      </c>
      <c r="K9" s="164">
        <f t="shared" si="1"/>
        <v>0</v>
      </c>
      <c r="L9" s="165" t="s">
        <v>53</v>
      </c>
      <c r="M9" s="168" t="s">
        <v>57</v>
      </c>
    </row>
    <row r="10" spans="1:13" ht="70" x14ac:dyDescent="0.35">
      <c r="A10" s="167" t="s">
        <v>58</v>
      </c>
      <c r="B10" s="165" t="s">
        <v>103</v>
      </c>
      <c r="C10" s="165" t="s">
        <v>32</v>
      </c>
      <c r="D10" s="165">
        <v>300</v>
      </c>
      <c r="E10" s="165">
        <v>15</v>
      </c>
      <c r="F10" s="165">
        <v>36148.300000000003</v>
      </c>
      <c r="G10" s="165">
        <v>2400</v>
      </c>
      <c r="H10" s="165">
        <v>0.19</v>
      </c>
      <c r="I10" s="164">
        <f t="shared" si="0"/>
        <v>6840</v>
      </c>
      <c r="J10" s="165">
        <v>0</v>
      </c>
      <c r="K10" s="164">
        <f t="shared" si="1"/>
        <v>0</v>
      </c>
      <c r="L10" s="165" t="s">
        <v>53</v>
      </c>
      <c r="M10" s="168" t="s">
        <v>54</v>
      </c>
    </row>
    <row r="11" spans="1:13" ht="70" x14ac:dyDescent="0.35">
      <c r="A11" s="167" t="s">
        <v>58</v>
      </c>
      <c r="B11" s="165" t="s">
        <v>105</v>
      </c>
      <c r="C11" s="165" t="s">
        <v>32</v>
      </c>
      <c r="D11" s="165">
        <v>300</v>
      </c>
      <c r="E11" s="165">
        <v>24</v>
      </c>
      <c r="F11" s="165">
        <v>57635.5</v>
      </c>
      <c r="G11" s="165">
        <v>2400</v>
      </c>
      <c r="H11" s="165">
        <v>0.19</v>
      </c>
      <c r="I11" s="164">
        <f t="shared" si="0"/>
        <v>10944</v>
      </c>
      <c r="J11" s="165">
        <v>0</v>
      </c>
      <c r="K11" s="164">
        <f t="shared" si="1"/>
        <v>0</v>
      </c>
      <c r="L11" s="165" t="s">
        <v>53</v>
      </c>
      <c r="M11" s="168" t="s">
        <v>57</v>
      </c>
    </row>
    <row r="12" spans="1:13" ht="70" x14ac:dyDescent="0.35">
      <c r="A12" s="167" t="s">
        <v>79</v>
      </c>
      <c r="B12" s="165" t="s">
        <v>97</v>
      </c>
      <c r="C12" s="165" t="s">
        <v>15</v>
      </c>
      <c r="D12" s="165">
        <v>13</v>
      </c>
      <c r="E12" s="165">
        <v>16.5</v>
      </c>
      <c r="F12" s="165">
        <v>11922.9</v>
      </c>
      <c r="G12" s="165">
        <v>875</v>
      </c>
      <c r="H12" s="165">
        <v>0.28000000000000003</v>
      </c>
      <c r="I12" s="164">
        <f t="shared" si="0"/>
        <v>4042.5000000000005</v>
      </c>
      <c r="J12" s="165">
        <v>0</v>
      </c>
      <c r="K12" s="164">
        <f t="shared" si="1"/>
        <v>0</v>
      </c>
      <c r="L12" s="165" t="s">
        <v>53</v>
      </c>
      <c r="M12" s="168" t="s">
        <v>54</v>
      </c>
    </row>
    <row r="13" spans="1:13" ht="70" x14ac:dyDescent="0.35">
      <c r="A13" s="167" t="s">
        <v>79</v>
      </c>
      <c r="B13" s="165" t="s">
        <v>97</v>
      </c>
      <c r="C13" s="165" t="s">
        <v>15</v>
      </c>
      <c r="D13" s="165">
        <v>13</v>
      </c>
      <c r="E13" s="165">
        <v>16.5</v>
      </c>
      <c r="F13" s="165">
        <v>12982.8</v>
      </c>
      <c r="G13" s="165">
        <v>875</v>
      </c>
      <c r="H13" s="165">
        <v>0.28000000000000003</v>
      </c>
      <c r="I13" s="164">
        <f t="shared" si="0"/>
        <v>4042.5000000000005</v>
      </c>
      <c r="J13" s="165">
        <v>0</v>
      </c>
      <c r="K13" s="164">
        <f t="shared" si="1"/>
        <v>0</v>
      </c>
      <c r="L13" s="165" t="s">
        <v>53</v>
      </c>
      <c r="M13" s="168" t="s">
        <v>57</v>
      </c>
    </row>
    <row r="14" spans="1:13" ht="70" x14ac:dyDescent="0.35">
      <c r="A14" s="167" t="s">
        <v>50</v>
      </c>
      <c r="B14" s="165" t="s">
        <v>97</v>
      </c>
      <c r="C14" s="165" t="s">
        <v>52</v>
      </c>
      <c r="D14" s="165">
        <v>66</v>
      </c>
      <c r="E14" s="165">
        <v>71.5</v>
      </c>
      <c r="F14" s="165">
        <v>35262.9</v>
      </c>
      <c r="G14" s="165">
        <v>61</v>
      </c>
      <c r="H14" s="165">
        <v>1.5</v>
      </c>
      <c r="I14" s="164">
        <f t="shared" si="0"/>
        <v>6542.25</v>
      </c>
      <c r="J14" s="165">
        <v>0</v>
      </c>
      <c r="K14" s="164">
        <f t="shared" si="1"/>
        <v>0</v>
      </c>
      <c r="L14" s="165" t="s">
        <v>53</v>
      </c>
      <c r="M14" s="168" t="s">
        <v>54</v>
      </c>
    </row>
    <row r="15" spans="1:13" ht="122.5" x14ac:dyDescent="0.35">
      <c r="A15" s="167" t="s">
        <v>89</v>
      </c>
      <c r="B15" s="165" t="s">
        <v>62</v>
      </c>
      <c r="C15" s="165" t="s">
        <v>20</v>
      </c>
      <c r="D15" s="165">
        <v>80</v>
      </c>
      <c r="E15" s="165">
        <v>16.399999999999999</v>
      </c>
      <c r="F15" s="165">
        <v>11803.5</v>
      </c>
      <c r="G15" s="165">
        <v>470</v>
      </c>
      <c r="H15" s="165">
        <v>0.2</v>
      </c>
      <c r="I15" s="164">
        <f t="shared" si="0"/>
        <v>1541.6</v>
      </c>
      <c r="J15" s="165">
        <v>1.6</v>
      </c>
      <c r="K15" s="164">
        <f t="shared" si="1"/>
        <v>12332.8</v>
      </c>
      <c r="L15" s="165" t="s">
        <v>53</v>
      </c>
      <c r="M15" s="168" t="s">
        <v>57</v>
      </c>
    </row>
    <row r="16" spans="1:13" ht="122.5" x14ac:dyDescent="0.35">
      <c r="A16" s="167" t="s">
        <v>79</v>
      </c>
      <c r="B16" s="165" t="s">
        <v>62</v>
      </c>
      <c r="C16" s="165" t="s">
        <v>15</v>
      </c>
      <c r="D16" s="165">
        <v>15</v>
      </c>
      <c r="E16" s="165">
        <v>3</v>
      </c>
      <c r="F16" s="165">
        <v>2582.4</v>
      </c>
      <c r="G16" s="165">
        <v>875</v>
      </c>
      <c r="H16" s="165">
        <v>0.28000000000000003</v>
      </c>
      <c r="I16" s="164">
        <f t="shared" si="0"/>
        <v>735.00000000000011</v>
      </c>
      <c r="J16" s="165">
        <v>0</v>
      </c>
      <c r="K16" s="164">
        <f t="shared" si="1"/>
        <v>0</v>
      </c>
      <c r="L16" s="165" t="s">
        <v>53</v>
      </c>
      <c r="M16" s="168" t="s">
        <v>54</v>
      </c>
    </row>
    <row r="17" spans="1:13" ht="122.5" x14ac:dyDescent="0.35">
      <c r="A17" s="167" t="s">
        <v>79</v>
      </c>
      <c r="B17" s="165" t="s">
        <v>62</v>
      </c>
      <c r="C17" s="165" t="s">
        <v>15</v>
      </c>
      <c r="D17" s="165">
        <v>15</v>
      </c>
      <c r="E17" s="165">
        <v>6</v>
      </c>
      <c r="F17" s="165">
        <v>5815.3</v>
      </c>
      <c r="G17" s="165">
        <v>875</v>
      </c>
      <c r="H17" s="165">
        <v>0.28000000000000003</v>
      </c>
      <c r="I17" s="164">
        <f t="shared" si="0"/>
        <v>1470.0000000000002</v>
      </c>
      <c r="J17" s="165">
        <v>0</v>
      </c>
      <c r="K17" s="164">
        <f t="shared" si="1"/>
        <v>0</v>
      </c>
      <c r="L17" s="165" t="s">
        <v>53</v>
      </c>
      <c r="M17" s="168" t="s">
        <v>57</v>
      </c>
    </row>
    <row r="18" spans="1:13" ht="122.5" x14ac:dyDescent="0.35">
      <c r="A18" s="167" t="s">
        <v>59</v>
      </c>
      <c r="B18" s="165" t="s">
        <v>62</v>
      </c>
      <c r="C18" s="165" t="s">
        <v>61</v>
      </c>
      <c r="D18" s="165">
        <v>20</v>
      </c>
      <c r="E18" s="165">
        <v>4.2</v>
      </c>
      <c r="F18" s="165">
        <v>5.3</v>
      </c>
      <c r="G18" s="165">
        <v>0</v>
      </c>
      <c r="H18" s="165">
        <v>0</v>
      </c>
      <c r="I18" s="164">
        <f t="shared" si="0"/>
        <v>0</v>
      </c>
      <c r="J18" s="165">
        <v>0</v>
      </c>
      <c r="K18" s="164">
        <f t="shared" si="1"/>
        <v>0</v>
      </c>
      <c r="L18" s="165" t="s">
        <v>53</v>
      </c>
      <c r="M18" s="168" t="s">
        <v>57</v>
      </c>
    </row>
    <row r="19" spans="1:13" ht="122.5" x14ac:dyDescent="0.35">
      <c r="A19" s="167" t="s">
        <v>50</v>
      </c>
      <c r="B19" s="165" t="s">
        <v>62</v>
      </c>
      <c r="C19" s="165" t="s">
        <v>52</v>
      </c>
      <c r="D19" s="165">
        <v>98</v>
      </c>
      <c r="E19" s="165">
        <v>21.6</v>
      </c>
      <c r="F19" s="165">
        <v>10568.4</v>
      </c>
      <c r="G19" s="165">
        <v>61</v>
      </c>
      <c r="H19" s="165">
        <v>1.5</v>
      </c>
      <c r="I19" s="164">
        <f t="shared" si="0"/>
        <v>1976.4</v>
      </c>
      <c r="J19" s="165">
        <v>0</v>
      </c>
      <c r="K19" s="164">
        <f t="shared" si="1"/>
        <v>0</v>
      </c>
      <c r="L19" s="165" t="s">
        <v>53</v>
      </c>
      <c r="M19" s="168" t="s">
        <v>57</v>
      </c>
    </row>
    <row r="20" spans="1:13" ht="52.5" x14ac:dyDescent="0.35">
      <c r="A20" s="167" t="s">
        <v>89</v>
      </c>
      <c r="B20" s="165" t="s">
        <v>80</v>
      </c>
      <c r="C20" s="165" t="s">
        <v>20</v>
      </c>
      <c r="D20" s="165">
        <v>80</v>
      </c>
      <c r="E20" s="165">
        <v>8.6</v>
      </c>
      <c r="F20" s="165">
        <v>6086.4</v>
      </c>
      <c r="G20" s="165">
        <v>470</v>
      </c>
      <c r="H20" s="165">
        <v>0.2</v>
      </c>
      <c r="I20" s="164">
        <f t="shared" si="0"/>
        <v>808.40000000000009</v>
      </c>
      <c r="J20" s="165">
        <v>1.6</v>
      </c>
      <c r="K20" s="164">
        <f t="shared" si="1"/>
        <v>6467.2000000000007</v>
      </c>
      <c r="L20" s="165" t="s">
        <v>53</v>
      </c>
      <c r="M20" s="168" t="s">
        <v>54</v>
      </c>
    </row>
    <row r="21" spans="1:13" ht="52.5" x14ac:dyDescent="0.35">
      <c r="A21" s="167" t="s">
        <v>79</v>
      </c>
      <c r="B21" s="165" t="s">
        <v>80</v>
      </c>
      <c r="C21" s="165" t="s">
        <v>15</v>
      </c>
      <c r="D21" s="165">
        <v>15</v>
      </c>
      <c r="E21" s="165">
        <v>1.8</v>
      </c>
      <c r="F21" s="165">
        <v>1513.7</v>
      </c>
      <c r="G21" s="165">
        <v>875</v>
      </c>
      <c r="H21" s="165">
        <v>0.28000000000000003</v>
      </c>
      <c r="I21" s="164">
        <f t="shared" si="0"/>
        <v>441.00000000000006</v>
      </c>
      <c r="J21" s="165">
        <v>0</v>
      </c>
      <c r="K21" s="164">
        <f t="shared" si="1"/>
        <v>0</v>
      </c>
      <c r="L21" s="165" t="s">
        <v>53</v>
      </c>
      <c r="M21" s="168" t="s">
        <v>57</v>
      </c>
    </row>
    <row r="22" spans="1:13" ht="52.5" x14ac:dyDescent="0.35">
      <c r="A22" s="167" t="s">
        <v>79</v>
      </c>
      <c r="B22" s="165" t="s">
        <v>80</v>
      </c>
      <c r="C22" s="165" t="s">
        <v>15</v>
      </c>
      <c r="D22" s="165">
        <v>15</v>
      </c>
      <c r="E22" s="165">
        <v>1.8</v>
      </c>
      <c r="F22" s="165">
        <v>1403.6</v>
      </c>
      <c r="G22" s="165">
        <v>875</v>
      </c>
      <c r="H22" s="165">
        <v>0.28000000000000003</v>
      </c>
      <c r="I22" s="164">
        <f t="shared" si="0"/>
        <v>441.00000000000006</v>
      </c>
      <c r="J22" s="165">
        <v>0</v>
      </c>
      <c r="K22" s="164">
        <f t="shared" si="1"/>
        <v>0</v>
      </c>
      <c r="L22" s="165" t="s">
        <v>53</v>
      </c>
      <c r="M22" s="168" t="s">
        <v>54</v>
      </c>
    </row>
    <row r="23" spans="1:13" ht="175" x14ac:dyDescent="0.35">
      <c r="A23" s="167" t="s">
        <v>89</v>
      </c>
      <c r="B23" s="165" t="s">
        <v>85</v>
      </c>
      <c r="C23" s="165" t="s">
        <v>20</v>
      </c>
      <c r="D23" s="165">
        <v>80</v>
      </c>
      <c r="E23" s="165">
        <v>23.1</v>
      </c>
      <c r="F23" s="165">
        <v>15650.7</v>
      </c>
      <c r="G23" s="165">
        <v>470</v>
      </c>
      <c r="H23" s="165">
        <v>0.2</v>
      </c>
      <c r="I23" s="164">
        <f t="shared" si="0"/>
        <v>2171.4</v>
      </c>
      <c r="J23" s="165">
        <v>1.6</v>
      </c>
      <c r="K23" s="164">
        <f t="shared" si="1"/>
        <v>17371.2</v>
      </c>
      <c r="L23" s="165" t="s">
        <v>53</v>
      </c>
      <c r="M23" s="168" t="s">
        <v>57</v>
      </c>
    </row>
    <row r="24" spans="1:13" ht="175" x14ac:dyDescent="0.35">
      <c r="A24" s="167" t="s">
        <v>79</v>
      </c>
      <c r="B24" s="165" t="s">
        <v>85</v>
      </c>
      <c r="C24" s="165" t="s">
        <v>15</v>
      </c>
      <c r="D24" s="165">
        <v>15</v>
      </c>
      <c r="E24" s="165">
        <v>3.5</v>
      </c>
      <c r="F24" s="165">
        <v>3583.7</v>
      </c>
      <c r="G24" s="165">
        <v>875</v>
      </c>
      <c r="H24" s="165">
        <v>0.28000000000000003</v>
      </c>
      <c r="I24" s="164">
        <f t="shared" si="0"/>
        <v>857.50000000000011</v>
      </c>
      <c r="J24" s="165">
        <v>0</v>
      </c>
      <c r="K24" s="164">
        <f t="shared" si="1"/>
        <v>0</v>
      </c>
      <c r="L24" s="165" t="s">
        <v>53</v>
      </c>
      <c r="M24" s="168" t="s">
        <v>57</v>
      </c>
    </row>
    <row r="25" spans="1:13" ht="175" x14ac:dyDescent="0.35">
      <c r="A25" s="167" t="s">
        <v>79</v>
      </c>
      <c r="B25" s="165" t="s">
        <v>85</v>
      </c>
      <c r="C25" s="165" t="s">
        <v>15</v>
      </c>
      <c r="D25" s="165">
        <v>15</v>
      </c>
      <c r="E25" s="165">
        <v>3.5</v>
      </c>
      <c r="F25" s="165">
        <v>3191.2</v>
      </c>
      <c r="G25" s="165">
        <v>875</v>
      </c>
      <c r="H25" s="165">
        <v>0.28000000000000003</v>
      </c>
      <c r="I25" s="164">
        <f t="shared" si="0"/>
        <v>857.50000000000011</v>
      </c>
      <c r="J25" s="165">
        <v>0</v>
      </c>
      <c r="K25" s="164">
        <f t="shared" si="1"/>
        <v>0</v>
      </c>
      <c r="L25" s="165" t="s">
        <v>53</v>
      </c>
      <c r="M25" s="168" t="s">
        <v>54</v>
      </c>
    </row>
    <row r="26" spans="1:13" ht="157.5" x14ac:dyDescent="0.35">
      <c r="A26" s="167" t="s">
        <v>79</v>
      </c>
      <c r="B26" s="165" t="s">
        <v>93</v>
      </c>
      <c r="C26" s="165" t="s">
        <v>15</v>
      </c>
      <c r="D26" s="165">
        <v>15</v>
      </c>
      <c r="E26" s="165">
        <v>7</v>
      </c>
      <c r="F26" s="165">
        <v>8146.8</v>
      </c>
      <c r="G26" s="165">
        <v>875</v>
      </c>
      <c r="H26" s="165">
        <v>0.28000000000000003</v>
      </c>
      <c r="I26" s="164">
        <f t="shared" si="0"/>
        <v>1715.0000000000002</v>
      </c>
      <c r="J26" s="165">
        <v>0</v>
      </c>
      <c r="K26" s="164">
        <f t="shared" si="1"/>
        <v>0</v>
      </c>
      <c r="L26" s="165" t="s">
        <v>53</v>
      </c>
      <c r="M26" s="168" t="s">
        <v>57</v>
      </c>
    </row>
    <row r="27" spans="1:13" ht="157.5" x14ac:dyDescent="0.35">
      <c r="A27" s="167" t="s">
        <v>50</v>
      </c>
      <c r="B27" s="165" t="s">
        <v>93</v>
      </c>
      <c r="C27" s="165" t="s">
        <v>52</v>
      </c>
      <c r="D27" s="165">
        <v>66</v>
      </c>
      <c r="E27" s="165">
        <v>19.399999999999999</v>
      </c>
      <c r="F27" s="165">
        <v>10417.200000000001</v>
      </c>
      <c r="G27" s="165">
        <v>61</v>
      </c>
      <c r="H27" s="165">
        <v>1.5</v>
      </c>
      <c r="I27" s="164">
        <f t="shared" si="0"/>
        <v>1775.1</v>
      </c>
      <c r="J27" s="165">
        <v>0</v>
      </c>
      <c r="K27" s="164">
        <f t="shared" si="1"/>
        <v>0</v>
      </c>
      <c r="L27" s="165" t="s">
        <v>53</v>
      </c>
      <c r="M27" s="168" t="s">
        <v>54</v>
      </c>
    </row>
    <row r="28" spans="1:13" ht="122.5" x14ac:dyDescent="0.35">
      <c r="A28" s="167" t="s">
        <v>89</v>
      </c>
      <c r="B28" s="165" t="s">
        <v>63</v>
      </c>
      <c r="C28" s="165" t="s">
        <v>20</v>
      </c>
      <c r="D28" s="165">
        <v>80</v>
      </c>
      <c r="E28" s="165">
        <v>19</v>
      </c>
      <c r="F28" s="165">
        <v>13420.7</v>
      </c>
      <c r="G28" s="165">
        <v>470</v>
      </c>
      <c r="H28" s="165">
        <v>0.2</v>
      </c>
      <c r="I28" s="164">
        <f t="shared" si="0"/>
        <v>1786</v>
      </c>
      <c r="J28" s="165">
        <v>1.6</v>
      </c>
      <c r="K28" s="164">
        <f t="shared" si="1"/>
        <v>14288</v>
      </c>
      <c r="L28" s="165" t="s">
        <v>53</v>
      </c>
      <c r="M28" s="168" t="s">
        <v>54</v>
      </c>
    </row>
    <row r="29" spans="1:13" ht="122.5" x14ac:dyDescent="0.35">
      <c r="A29" s="167" t="s">
        <v>79</v>
      </c>
      <c r="B29" s="165" t="s">
        <v>63</v>
      </c>
      <c r="C29" s="165" t="s">
        <v>15</v>
      </c>
      <c r="D29" s="165">
        <v>15</v>
      </c>
      <c r="E29" s="165">
        <v>8.3000000000000007</v>
      </c>
      <c r="F29" s="165">
        <v>8365.4</v>
      </c>
      <c r="G29" s="165">
        <v>875</v>
      </c>
      <c r="H29" s="165">
        <v>0.28000000000000003</v>
      </c>
      <c r="I29" s="164">
        <f t="shared" si="0"/>
        <v>2033.5000000000005</v>
      </c>
      <c r="J29" s="165">
        <v>0</v>
      </c>
      <c r="K29" s="164">
        <f t="shared" si="1"/>
        <v>0</v>
      </c>
      <c r="L29" s="165" t="s">
        <v>53</v>
      </c>
      <c r="M29" s="168" t="s">
        <v>57</v>
      </c>
    </row>
    <row r="30" spans="1:13" ht="122.5" x14ac:dyDescent="0.35">
      <c r="A30" s="167" t="s">
        <v>59</v>
      </c>
      <c r="B30" s="165" t="s">
        <v>63</v>
      </c>
      <c r="C30" s="165" t="s">
        <v>61</v>
      </c>
      <c r="D30" s="165">
        <v>20</v>
      </c>
      <c r="E30" s="165">
        <v>5.0999999999999996</v>
      </c>
      <c r="F30" s="165">
        <v>5.4</v>
      </c>
      <c r="G30" s="165">
        <v>0</v>
      </c>
      <c r="H30" s="165">
        <v>0</v>
      </c>
      <c r="I30" s="164">
        <f t="shared" si="0"/>
        <v>0</v>
      </c>
      <c r="J30" s="165">
        <v>0</v>
      </c>
      <c r="K30" s="164">
        <f t="shared" si="1"/>
        <v>0</v>
      </c>
      <c r="L30" s="165" t="s">
        <v>53</v>
      </c>
      <c r="M30" s="168" t="s">
        <v>54</v>
      </c>
    </row>
    <row r="31" spans="1:13" ht="122.5" x14ac:dyDescent="0.35">
      <c r="A31" s="167" t="s">
        <v>50</v>
      </c>
      <c r="B31" s="165" t="s">
        <v>63</v>
      </c>
      <c r="C31" s="165" t="s">
        <v>52</v>
      </c>
      <c r="D31" s="165">
        <v>68</v>
      </c>
      <c r="E31" s="165">
        <v>16.600000000000001</v>
      </c>
      <c r="F31" s="165">
        <v>8027.3</v>
      </c>
      <c r="G31" s="165">
        <v>61</v>
      </c>
      <c r="H31" s="165">
        <v>1.5</v>
      </c>
      <c r="I31" s="164">
        <f t="shared" si="0"/>
        <v>1518.9</v>
      </c>
      <c r="J31" s="165">
        <v>0</v>
      </c>
      <c r="K31" s="164">
        <f t="shared" si="1"/>
        <v>0</v>
      </c>
      <c r="L31" s="165" t="s">
        <v>53</v>
      </c>
      <c r="M31" s="168" t="s">
        <v>54</v>
      </c>
    </row>
    <row r="32" spans="1:13" ht="87.5" x14ac:dyDescent="0.35">
      <c r="A32" s="167" t="s">
        <v>89</v>
      </c>
      <c r="B32" s="165" t="s">
        <v>102</v>
      </c>
      <c r="C32" s="165" t="s">
        <v>20</v>
      </c>
      <c r="D32" s="165">
        <v>80</v>
      </c>
      <c r="E32" s="165">
        <v>137.6</v>
      </c>
      <c r="F32" s="165">
        <v>97436.3</v>
      </c>
      <c r="G32" s="165">
        <v>470</v>
      </c>
      <c r="H32" s="165">
        <v>0.2</v>
      </c>
      <c r="I32" s="164">
        <f t="shared" si="0"/>
        <v>12934.400000000001</v>
      </c>
      <c r="J32" s="165">
        <v>1.6</v>
      </c>
      <c r="K32" s="164">
        <f t="shared" si="1"/>
        <v>103475.20000000001</v>
      </c>
      <c r="L32" s="165" t="s">
        <v>53</v>
      </c>
      <c r="M32" s="168" t="s">
        <v>54</v>
      </c>
    </row>
    <row r="33" spans="1:13" ht="87.5" x14ac:dyDescent="0.35">
      <c r="A33" s="167" t="s">
        <v>79</v>
      </c>
      <c r="B33" s="165" t="s">
        <v>102</v>
      </c>
      <c r="C33" s="165" t="s">
        <v>15</v>
      </c>
      <c r="D33" s="165">
        <v>15</v>
      </c>
      <c r="E33" s="165">
        <v>26</v>
      </c>
      <c r="F33" s="165">
        <v>20574.599999999999</v>
      </c>
      <c r="G33" s="165">
        <v>875</v>
      </c>
      <c r="H33" s="165">
        <v>0.28000000000000003</v>
      </c>
      <c r="I33" s="164">
        <f t="shared" si="0"/>
        <v>6370.0000000000009</v>
      </c>
      <c r="J33" s="165">
        <v>0</v>
      </c>
      <c r="K33" s="164">
        <f t="shared" si="1"/>
        <v>0</v>
      </c>
      <c r="L33" s="165" t="s">
        <v>53</v>
      </c>
      <c r="M33" s="168" t="s">
        <v>57</v>
      </c>
    </row>
    <row r="34" spans="1:13" ht="87.5" x14ac:dyDescent="0.35">
      <c r="A34" s="167" t="s">
        <v>50</v>
      </c>
      <c r="B34" s="165" t="s">
        <v>102</v>
      </c>
      <c r="C34" s="165" t="s">
        <v>52</v>
      </c>
      <c r="D34" s="165">
        <v>50</v>
      </c>
      <c r="E34" s="165">
        <v>43</v>
      </c>
      <c r="F34" s="165">
        <v>21801.3</v>
      </c>
      <c r="G34" s="165">
        <v>61</v>
      </c>
      <c r="H34" s="165">
        <v>1.5</v>
      </c>
      <c r="I34" s="164">
        <f t="shared" si="0"/>
        <v>3934.5</v>
      </c>
      <c r="J34" s="165">
        <v>0</v>
      </c>
      <c r="K34" s="164">
        <f t="shared" si="1"/>
        <v>0</v>
      </c>
      <c r="L34" s="165" t="s">
        <v>53</v>
      </c>
      <c r="M34" s="168" t="s">
        <v>54</v>
      </c>
    </row>
    <row r="35" spans="1:13" ht="70" x14ac:dyDescent="0.35">
      <c r="A35" s="167" t="s">
        <v>95</v>
      </c>
      <c r="B35" s="165" t="s">
        <v>96</v>
      </c>
      <c r="C35" s="165" t="s">
        <v>30</v>
      </c>
      <c r="D35" s="165">
        <v>300</v>
      </c>
      <c r="E35" s="165">
        <v>3.8</v>
      </c>
      <c r="F35" s="165">
        <v>9014</v>
      </c>
      <c r="G35" s="165">
        <v>2375</v>
      </c>
      <c r="H35" s="165">
        <v>0.15</v>
      </c>
      <c r="I35" s="164">
        <f t="shared" si="0"/>
        <v>1353.75</v>
      </c>
      <c r="J35" s="165">
        <v>0</v>
      </c>
      <c r="K35" s="164">
        <f t="shared" si="1"/>
        <v>0</v>
      </c>
      <c r="L35" s="165" t="s">
        <v>53</v>
      </c>
      <c r="M35" s="168" t="s">
        <v>54</v>
      </c>
    </row>
    <row r="36" spans="1:13" ht="70" x14ac:dyDescent="0.35">
      <c r="A36" s="167" t="s">
        <v>95</v>
      </c>
      <c r="B36" s="165" t="s">
        <v>104</v>
      </c>
      <c r="C36" s="165" t="s">
        <v>30</v>
      </c>
      <c r="D36" s="165">
        <v>200</v>
      </c>
      <c r="E36" s="165">
        <v>16.3</v>
      </c>
      <c r="F36" s="165">
        <v>38202.800000000003</v>
      </c>
      <c r="G36" s="165">
        <v>2375</v>
      </c>
      <c r="H36" s="165">
        <v>0.15</v>
      </c>
      <c r="I36" s="164">
        <f t="shared" si="0"/>
        <v>5806.875</v>
      </c>
      <c r="J36" s="165">
        <v>0</v>
      </c>
      <c r="K36" s="164">
        <f t="shared" si="1"/>
        <v>0</v>
      </c>
      <c r="L36" s="165" t="s">
        <v>53</v>
      </c>
      <c r="M36" s="168" t="s">
        <v>54</v>
      </c>
    </row>
    <row r="37" spans="1:13" ht="70" x14ac:dyDescent="0.35">
      <c r="A37" s="167" t="s">
        <v>89</v>
      </c>
      <c r="B37" s="165" t="s">
        <v>69</v>
      </c>
      <c r="C37" s="165" t="s">
        <v>20</v>
      </c>
      <c r="D37" s="165">
        <v>120</v>
      </c>
      <c r="E37" s="165">
        <v>28.5</v>
      </c>
      <c r="F37" s="165">
        <v>19964.8</v>
      </c>
      <c r="G37" s="165">
        <v>470</v>
      </c>
      <c r="H37" s="165">
        <v>0.2</v>
      </c>
      <c r="I37" s="164">
        <f t="shared" si="0"/>
        <v>2679</v>
      </c>
      <c r="J37" s="165">
        <v>1.6</v>
      </c>
      <c r="K37" s="164">
        <f t="shared" si="1"/>
        <v>21432</v>
      </c>
      <c r="L37" s="165" t="s">
        <v>53</v>
      </c>
      <c r="M37" s="168" t="s">
        <v>57</v>
      </c>
    </row>
    <row r="38" spans="1:13" ht="70" x14ac:dyDescent="0.35">
      <c r="A38" s="167" t="s">
        <v>79</v>
      </c>
      <c r="B38" s="165" t="s">
        <v>69</v>
      </c>
      <c r="C38" s="165" t="s">
        <v>15</v>
      </c>
      <c r="D38" s="165">
        <v>15</v>
      </c>
      <c r="E38" s="165">
        <v>10</v>
      </c>
      <c r="F38" s="165">
        <v>8820.7999999999993</v>
      </c>
      <c r="G38" s="165">
        <v>875</v>
      </c>
      <c r="H38" s="165">
        <v>0.28000000000000003</v>
      </c>
      <c r="I38" s="164">
        <f t="shared" si="0"/>
        <v>2450.0000000000005</v>
      </c>
      <c r="J38" s="165">
        <v>0</v>
      </c>
      <c r="K38" s="164">
        <f t="shared" si="1"/>
        <v>0</v>
      </c>
      <c r="L38" s="165" t="s">
        <v>53</v>
      </c>
      <c r="M38" s="168" t="s">
        <v>54</v>
      </c>
    </row>
    <row r="39" spans="1:13" ht="70" x14ac:dyDescent="0.35">
      <c r="A39" s="167" t="s">
        <v>59</v>
      </c>
      <c r="B39" s="165" t="s">
        <v>69</v>
      </c>
      <c r="C39" s="165" t="s">
        <v>61</v>
      </c>
      <c r="D39" s="165">
        <v>300</v>
      </c>
      <c r="E39" s="165">
        <v>59.6</v>
      </c>
      <c r="F39" s="165">
        <v>71.599999999999994</v>
      </c>
      <c r="G39" s="165">
        <v>0</v>
      </c>
      <c r="H39" s="165">
        <v>0</v>
      </c>
      <c r="I39" s="164">
        <f t="shared" si="0"/>
        <v>0</v>
      </c>
      <c r="J39" s="165">
        <v>0</v>
      </c>
      <c r="K39" s="164">
        <f t="shared" si="1"/>
        <v>0</v>
      </c>
      <c r="L39" s="165" t="s">
        <v>53</v>
      </c>
      <c r="M39" s="168" t="s">
        <v>54</v>
      </c>
    </row>
    <row r="40" spans="1:13" ht="122.5" x14ac:dyDescent="0.35">
      <c r="A40" s="167" t="s">
        <v>89</v>
      </c>
      <c r="B40" s="165" t="s">
        <v>65</v>
      </c>
      <c r="C40" s="165" t="s">
        <v>20</v>
      </c>
      <c r="D40" s="165">
        <v>80</v>
      </c>
      <c r="E40" s="165">
        <v>22</v>
      </c>
      <c r="F40" s="165">
        <v>14923.1</v>
      </c>
      <c r="G40" s="165">
        <v>470</v>
      </c>
      <c r="H40" s="165">
        <v>0.2</v>
      </c>
      <c r="I40" s="164">
        <f t="shared" si="0"/>
        <v>2068</v>
      </c>
      <c r="J40" s="165">
        <v>1.6</v>
      </c>
      <c r="K40" s="164">
        <f t="shared" si="1"/>
        <v>16544</v>
      </c>
      <c r="L40" s="165" t="s">
        <v>53</v>
      </c>
      <c r="M40" s="168" t="s">
        <v>57</v>
      </c>
    </row>
    <row r="41" spans="1:13" ht="122.5" x14ac:dyDescent="0.35">
      <c r="A41" s="167" t="s">
        <v>86</v>
      </c>
      <c r="B41" s="165" t="s">
        <v>65</v>
      </c>
      <c r="C41" s="165" t="s">
        <v>87</v>
      </c>
      <c r="D41" s="165">
        <v>18</v>
      </c>
      <c r="E41" s="165">
        <v>5.5</v>
      </c>
      <c r="F41" s="165">
        <v>3838</v>
      </c>
      <c r="G41" s="165">
        <v>0</v>
      </c>
      <c r="H41" s="165">
        <v>0</v>
      </c>
      <c r="I41" s="164">
        <f t="shared" si="0"/>
        <v>0</v>
      </c>
      <c r="J41" s="165">
        <v>0</v>
      </c>
      <c r="K41" s="164">
        <f t="shared" si="1"/>
        <v>0</v>
      </c>
      <c r="L41" s="165" t="s">
        <v>53</v>
      </c>
      <c r="M41" s="168" t="s">
        <v>57</v>
      </c>
    </row>
    <row r="42" spans="1:13" ht="122.5" x14ac:dyDescent="0.35">
      <c r="A42" s="167" t="s">
        <v>79</v>
      </c>
      <c r="B42" s="165" t="s">
        <v>65</v>
      </c>
      <c r="C42" s="165" t="s">
        <v>15</v>
      </c>
      <c r="D42" s="165">
        <v>13</v>
      </c>
      <c r="E42" s="165">
        <v>5.5</v>
      </c>
      <c r="F42" s="165">
        <v>2798</v>
      </c>
      <c r="G42" s="165">
        <v>875</v>
      </c>
      <c r="H42" s="165">
        <v>0.28000000000000003</v>
      </c>
      <c r="I42" s="164">
        <f t="shared" si="0"/>
        <v>1347.5000000000002</v>
      </c>
      <c r="J42" s="165">
        <v>0</v>
      </c>
      <c r="K42" s="164">
        <f t="shared" si="1"/>
        <v>0</v>
      </c>
      <c r="L42" s="165" t="s">
        <v>53</v>
      </c>
      <c r="M42" s="168" t="s">
        <v>57</v>
      </c>
    </row>
    <row r="43" spans="1:13" ht="122.5" x14ac:dyDescent="0.35">
      <c r="A43" s="167" t="s">
        <v>64</v>
      </c>
      <c r="B43" s="165" t="s">
        <v>65</v>
      </c>
      <c r="C43" s="165" t="s">
        <v>66</v>
      </c>
      <c r="D43" s="165">
        <v>25</v>
      </c>
      <c r="E43" s="165">
        <v>5.5</v>
      </c>
      <c r="F43" s="165">
        <v>5.5</v>
      </c>
      <c r="G43" s="165">
        <v>0</v>
      </c>
      <c r="H43" s="165">
        <v>0</v>
      </c>
      <c r="I43" s="164">
        <f t="shared" si="0"/>
        <v>0</v>
      </c>
      <c r="J43" s="165">
        <v>0</v>
      </c>
      <c r="K43" s="164">
        <f t="shared" si="1"/>
        <v>0</v>
      </c>
      <c r="L43" s="165" t="s">
        <v>53</v>
      </c>
      <c r="M43" s="168" t="s">
        <v>57</v>
      </c>
    </row>
    <row r="44" spans="1:13" ht="122.5" x14ac:dyDescent="0.35">
      <c r="A44" s="167" t="s">
        <v>64</v>
      </c>
      <c r="B44" s="165" t="s">
        <v>65</v>
      </c>
      <c r="C44" s="165" t="s">
        <v>66</v>
      </c>
      <c r="D44" s="165">
        <v>30</v>
      </c>
      <c r="E44" s="165">
        <v>5.5</v>
      </c>
      <c r="F44" s="165">
        <v>11</v>
      </c>
      <c r="G44" s="165">
        <v>0</v>
      </c>
      <c r="H44" s="165">
        <v>0</v>
      </c>
      <c r="I44" s="164">
        <f t="shared" si="0"/>
        <v>0</v>
      </c>
      <c r="J44" s="165">
        <v>0</v>
      </c>
      <c r="K44" s="164">
        <f t="shared" si="1"/>
        <v>0</v>
      </c>
      <c r="L44" s="165" t="s">
        <v>53</v>
      </c>
      <c r="M44" s="168" t="s">
        <v>57</v>
      </c>
    </row>
    <row r="45" spans="1:13" ht="122.5" x14ac:dyDescent="0.35">
      <c r="A45" s="167" t="s">
        <v>64</v>
      </c>
      <c r="B45" s="165" t="s">
        <v>65</v>
      </c>
      <c r="C45" s="165" t="s">
        <v>66</v>
      </c>
      <c r="D45" s="165">
        <v>160</v>
      </c>
      <c r="E45" s="165">
        <v>33.4</v>
      </c>
      <c r="F45" s="165">
        <v>44</v>
      </c>
      <c r="G45" s="165">
        <v>0</v>
      </c>
      <c r="H45" s="165">
        <v>0</v>
      </c>
      <c r="I45" s="164">
        <f t="shared" si="0"/>
        <v>0</v>
      </c>
      <c r="J45" s="165">
        <v>0</v>
      </c>
      <c r="K45" s="164">
        <f t="shared" si="1"/>
        <v>0</v>
      </c>
      <c r="L45" s="165" t="s">
        <v>53</v>
      </c>
      <c r="M45" s="168" t="s">
        <v>57</v>
      </c>
    </row>
    <row r="46" spans="1:13" ht="122.5" x14ac:dyDescent="0.35">
      <c r="A46" s="167" t="s">
        <v>75</v>
      </c>
      <c r="B46" s="165" t="s">
        <v>65</v>
      </c>
      <c r="C46" s="165" t="s">
        <v>76</v>
      </c>
      <c r="D46" s="165">
        <v>100</v>
      </c>
      <c r="E46" s="165">
        <v>22</v>
      </c>
      <c r="F46" s="165">
        <v>883.1</v>
      </c>
      <c r="G46" s="165">
        <v>33</v>
      </c>
      <c r="H46" s="165">
        <v>1.5</v>
      </c>
      <c r="I46" s="164">
        <f t="shared" si="0"/>
        <v>1089</v>
      </c>
      <c r="J46" s="165">
        <v>0</v>
      </c>
      <c r="K46" s="164">
        <f t="shared" si="1"/>
        <v>0</v>
      </c>
      <c r="L46" s="165" t="s">
        <v>53</v>
      </c>
      <c r="M46" s="168" t="s">
        <v>57</v>
      </c>
    </row>
    <row r="47" spans="1:13" ht="122.5" x14ac:dyDescent="0.35">
      <c r="A47" s="167" t="s">
        <v>50</v>
      </c>
      <c r="B47" s="165" t="s">
        <v>65</v>
      </c>
      <c r="C47" s="165" t="s">
        <v>52</v>
      </c>
      <c r="D47" s="165">
        <v>30</v>
      </c>
      <c r="E47" s="165">
        <v>5.5</v>
      </c>
      <c r="F47" s="165">
        <v>3996.8</v>
      </c>
      <c r="G47" s="165">
        <v>61</v>
      </c>
      <c r="H47" s="165">
        <v>1.5</v>
      </c>
      <c r="I47" s="164">
        <f t="shared" si="0"/>
        <v>503.25</v>
      </c>
      <c r="J47" s="165">
        <v>0</v>
      </c>
      <c r="K47" s="164">
        <f t="shared" si="1"/>
        <v>0</v>
      </c>
      <c r="L47" s="165" t="s">
        <v>53</v>
      </c>
      <c r="M47" s="168" t="s">
        <v>57</v>
      </c>
    </row>
    <row r="48" spans="1:13" ht="122.5" x14ac:dyDescent="0.35">
      <c r="A48" s="167" t="s">
        <v>101</v>
      </c>
      <c r="B48" s="165" t="s">
        <v>65</v>
      </c>
      <c r="C48" s="165" t="s">
        <v>4</v>
      </c>
      <c r="D48" s="165">
        <v>40</v>
      </c>
      <c r="E48" s="165">
        <v>11</v>
      </c>
      <c r="F48" s="165">
        <v>19186.7</v>
      </c>
      <c r="G48" s="165">
        <v>2353</v>
      </c>
      <c r="H48" s="165">
        <v>0.12</v>
      </c>
      <c r="I48" s="164">
        <f t="shared" si="0"/>
        <v>3105.96</v>
      </c>
      <c r="J48" s="165">
        <v>0</v>
      </c>
      <c r="K48" s="164">
        <f t="shared" si="1"/>
        <v>0</v>
      </c>
      <c r="L48" s="165" t="s">
        <v>53</v>
      </c>
      <c r="M48" s="168" t="s">
        <v>57</v>
      </c>
    </row>
    <row r="49" spans="1:13" ht="70" x14ac:dyDescent="0.35">
      <c r="A49" s="167" t="s">
        <v>89</v>
      </c>
      <c r="B49" s="165" t="s">
        <v>68</v>
      </c>
      <c r="C49" s="165" t="s">
        <v>20</v>
      </c>
      <c r="D49" s="165">
        <v>80</v>
      </c>
      <c r="E49" s="165">
        <v>114.5</v>
      </c>
      <c r="F49" s="165">
        <v>79932.399999999994</v>
      </c>
      <c r="G49" s="165">
        <v>470</v>
      </c>
      <c r="H49" s="165">
        <v>0.2</v>
      </c>
      <c r="I49" s="164">
        <f t="shared" si="0"/>
        <v>10763</v>
      </c>
      <c r="J49" s="165">
        <v>1.6</v>
      </c>
      <c r="K49" s="164">
        <f t="shared" si="1"/>
        <v>86104</v>
      </c>
      <c r="L49" s="165" t="s">
        <v>53</v>
      </c>
      <c r="M49" s="168" t="s">
        <v>54</v>
      </c>
    </row>
    <row r="50" spans="1:13" ht="70" x14ac:dyDescent="0.35">
      <c r="A50" s="167" t="s">
        <v>86</v>
      </c>
      <c r="B50" s="165" t="s">
        <v>68</v>
      </c>
      <c r="C50" s="165" t="s">
        <v>87</v>
      </c>
      <c r="D50" s="165">
        <v>18</v>
      </c>
      <c r="E50" s="165">
        <v>25</v>
      </c>
      <c r="F50" s="165">
        <v>20537.900000000001</v>
      </c>
      <c r="G50" s="165">
        <v>0</v>
      </c>
      <c r="H50" s="165">
        <v>0</v>
      </c>
      <c r="I50" s="164">
        <f t="shared" si="0"/>
        <v>0</v>
      </c>
      <c r="J50" s="165">
        <v>0</v>
      </c>
      <c r="K50" s="164">
        <f t="shared" si="1"/>
        <v>0</v>
      </c>
      <c r="L50" s="165" t="s">
        <v>53</v>
      </c>
      <c r="M50" s="168" t="s">
        <v>57</v>
      </c>
    </row>
    <row r="51" spans="1:13" ht="70" x14ac:dyDescent="0.35">
      <c r="A51" s="167" t="s">
        <v>59</v>
      </c>
      <c r="B51" s="165" t="s">
        <v>68</v>
      </c>
      <c r="C51" s="165" t="s">
        <v>61</v>
      </c>
      <c r="D51" s="165">
        <v>30</v>
      </c>
      <c r="E51" s="165">
        <v>42</v>
      </c>
      <c r="F51" s="165">
        <v>52.2</v>
      </c>
      <c r="G51" s="165">
        <v>0</v>
      </c>
      <c r="H51" s="165">
        <v>0</v>
      </c>
      <c r="I51" s="164">
        <f t="shared" si="0"/>
        <v>0</v>
      </c>
      <c r="J51" s="165">
        <v>0</v>
      </c>
      <c r="K51" s="164">
        <f t="shared" si="1"/>
        <v>0</v>
      </c>
      <c r="L51" s="165" t="s">
        <v>53</v>
      </c>
      <c r="M51" s="168" t="s">
        <v>54</v>
      </c>
    </row>
    <row r="52" spans="1:13" ht="70" x14ac:dyDescent="0.35">
      <c r="A52" s="167" t="s">
        <v>59</v>
      </c>
      <c r="B52" s="165" t="s">
        <v>68</v>
      </c>
      <c r="C52" s="165" t="s">
        <v>61</v>
      </c>
      <c r="D52" s="165">
        <v>160</v>
      </c>
      <c r="E52" s="165">
        <v>188.2</v>
      </c>
      <c r="F52" s="165">
        <v>226.9</v>
      </c>
      <c r="G52" s="165">
        <v>0</v>
      </c>
      <c r="H52" s="165">
        <v>0</v>
      </c>
      <c r="I52" s="164">
        <f t="shared" si="0"/>
        <v>0</v>
      </c>
      <c r="J52" s="165">
        <v>0</v>
      </c>
      <c r="K52" s="164">
        <f t="shared" si="1"/>
        <v>0</v>
      </c>
      <c r="L52" s="165" t="s">
        <v>53</v>
      </c>
      <c r="M52" s="168" t="s">
        <v>54</v>
      </c>
    </row>
    <row r="53" spans="1:13" ht="70" x14ac:dyDescent="0.35">
      <c r="A53" s="167" t="s">
        <v>64</v>
      </c>
      <c r="B53" s="165" t="s">
        <v>68</v>
      </c>
      <c r="C53" s="165" t="s">
        <v>66</v>
      </c>
      <c r="D53" s="165">
        <v>25</v>
      </c>
      <c r="E53" s="165">
        <v>35.5</v>
      </c>
      <c r="F53" s="165">
        <v>42</v>
      </c>
      <c r="G53" s="165">
        <v>0</v>
      </c>
      <c r="H53" s="165">
        <v>0</v>
      </c>
      <c r="I53" s="164">
        <f t="shared" si="0"/>
        <v>0</v>
      </c>
      <c r="J53" s="165">
        <v>0</v>
      </c>
      <c r="K53" s="164">
        <f t="shared" si="1"/>
        <v>0</v>
      </c>
      <c r="L53" s="165" t="s">
        <v>53</v>
      </c>
      <c r="M53" s="168" t="s">
        <v>54</v>
      </c>
    </row>
    <row r="54" spans="1:13" ht="87.5" x14ac:dyDescent="0.35">
      <c r="A54" s="167" t="s">
        <v>75</v>
      </c>
      <c r="B54" s="165" t="s">
        <v>68</v>
      </c>
      <c r="C54" s="165" t="s">
        <v>76</v>
      </c>
      <c r="D54" s="165">
        <v>100</v>
      </c>
      <c r="E54" s="165">
        <v>118.3</v>
      </c>
      <c r="F54" s="165">
        <v>4717.8</v>
      </c>
      <c r="G54" s="165">
        <v>33</v>
      </c>
      <c r="H54" s="165">
        <v>1.5</v>
      </c>
      <c r="I54" s="164">
        <f t="shared" si="0"/>
        <v>5855.85</v>
      </c>
      <c r="J54" s="165">
        <v>0</v>
      </c>
      <c r="K54" s="164">
        <f t="shared" si="1"/>
        <v>0</v>
      </c>
      <c r="L54" s="165" t="s">
        <v>53</v>
      </c>
      <c r="M54" s="168" t="s">
        <v>54</v>
      </c>
    </row>
    <row r="55" spans="1:13" ht="70" x14ac:dyDescent="0.35">
      <c r="A55" s="167" t="s">
        <v>50</v>
      </c>
      <c r="B55" s="165" t="s">
        <v>68</v>
      </c>
      <c r="C55" s="165" t="s">
        <v>52</v>
      </c>
      <c r="D55" s="165">
        <v>30</v>
      </c>
      <c r="E55" s="165">
        <v>42</v>
      </c>
      <c r="F55" s="165">
        <v>21393.7</v>
      </c>
      <c r="G55" s="165">
        <v>61</v>
      </c>
      <c r="H55" s="165">
        <v>1.5</v>
      </c>
      <c r="I55" s="164">
        <f t="shared" si="0"/>
        <v>3843</v>
      </c>
      <c r="J55" s="165">
        <v>0</v>
      </c>
      <c r="K55" s="164">
        <f t="shared" si="1"/>
        <v>0</v>
      </c>
      <c r="L55" s="165" t="s">
        <v>53</v>
      </c>
      <c r="M55" s="168" t="s">
        <v>57</v>
      </c>
    </row>
    <row r="56" spans="1:13" ht="70" x14ac:dyDescent="0.35">
      <c r="A56" s="167" t="s">
        <v>101</v>
      </c>
      <c r="B56" s="165" t="s">
        <v>68</v>
      </c>
      <c r="C56" s="165" t="s">
        <v>4</v>
      </c>
      <c r="D56" s="165">
        <v>40</v>
      </c>
      <c r="E56" s="165">
        <v>57.8</v>
      </c>
      <c r="F56" s="165">
        <v>102691.1</v>
      </c>
      <c r="G56" s="165">
        <v>2353</v>
      </c>
      <c r="H56" s="165">
        <v>0.12</v>
      </c>
      <c r="I56" s="164">
        <f>(G56*E56)*H56</f>
        <v>16320.407999999999</v>
      </c>
      <c r="J56" s="165">
        <v>0</v>
      </c>
      <c r="K56" s="164">
        <f t="shared" si="1"/>
        <v>0</v>
      </c>
      <c r="L56" s="165" t="s">
        <v>53</v>
      </c>
      <c r="M56" s="168" t="s">
        <v>57</v>
      </c>
    </row>
    <row r="57" spans="1:13" ht="52.5" x14ac:dyDescent="0.35">
      <c r="A57" s="167" t="s">
        <v>94</v>
      </c>
      <c r="B57" s="165" t="s">
        <v>91</v>
      </c>
      <c r="C57" s="165" t="s">
        <v>28</v>
      </c>
      <c r="D57" s="165">
        <v>2</v>
      </c>
      <c r="E57" s="165">
        <v>1.2</v>
      </c>
      <c r="F57" s="165">
        <v>8553</v>
      </c>
      <c r="G57" s="165">
        <v>7850</v>
      </c>
      <c r="H57" s="165">
        <v>3.1</v>
      </c>
      <c r="I57" s="164">
        <f t="shared" si="0"/>
        <v>29202</v>
      </c>
      <c r="J57" s="165">
        <v>0</v>
      </c>
      <c r="K57" s="164">
        <f t="shared" si="1"/>
        <v>0</v>
      </c>
      <c r="L57" s="165" t="s">
        <v>53</v>
      </c>
      <c r="M57" s="168" t="s">
        <v>54</v>
      </c>
    </row>
    <row r="58" spans="1:13" ht="52.5" x14ac:dyDescent="0.35">
      <c r="A58" s="167" t="s">
        <v>90</v>
      </c>
      <c r="B58" s="165" t="s">
        <v>91</v>
      </c>
      <c r="C58" s="165" t="s">
        <v>22</v>
      </c>
      <c r="D58" s="165">
        <v>25</v>
      </c>
      <c r="E58" s="165">
        <v>14.8</v>
      </c>
      <c r="F58" s="165">
        <v>7424.4</v>
      </c>
      <c r="G58" s="165">
        <v>474</v>
      </c>
      <c r="H58" s="165">
        <v>0.09</v>
      </c>
      <c r="I58" s="164">
        <f t="shared" si="0"/>
        <v>631.36800000000005</v>
      </c>
      <c r="J58" s="165">
        <v>1.6</v>
      </c>
      <c r="K58" s="164">
        <f t="shared" si="1"/>
        <v>11224.320000000002</v>
      </c>
      <c r="L58" s="165" t="s">
        <v>53</v>
      </c>
      <c r="M58" s="168" t="s">
        <v>54</v>
      </c>
    </row>
    <row r="59" spans="1:13" ht="122.5" x14ac:dyDescent="0.35">
      <c r="A59" s="167" t="s">
        <v>58</v>
      </c>
      <c r="B59" s="165" t="s">
        <v>88</v>
      </c>
      <c r="C59" s="165" t="s">
        <v>32</v>
      </c>
      <c r="D59" s="165">
        <v>300</v>
      </c>
      <c r="E59" s="165">
        <v>16.100000000000001</v>
      </c>
      <c r="F59" s="165">
        <v>38836.300000000003</v>
      </c>
      <c r="G59" s="165">
        <v>2400</v>
      </c>
      <c r="H59" s="165">
        <v>0.19</v>
      </c>
      <c r="I59" s="164">
        <f t="shared" si="0"/>
        <v>7341.6</v>
      </c>
      <c r="J59" s="165">
        <v>0</v>
      </c>
      <c r="K59" s="164">
        <f t="shared" si="1"/>
        <v>0</v>
      </c>
      <c r="L59" s="165" t="s">
        <v>53</v>
      </c>
      <c r="M59" s="168" t="s">
        <v>54</v>
      </c>
    </row>
    <row r="60" spans="1:13" ht="122.5" x14ac:dyDescent="0.35">
      <c r="A60" s="167" t="s">
        <v>50</v>
      </c>
      <c r="B60" s="165" t="s">
        <v>88</v>
      </c>
      <c r="C60" s="165" t="s">
        <v>52</v>
      </c>
      <c r="D60" s="165">
        <v>140</v>
      </c>
      <c r="E60" s="165">
        <v>8.3000000000000007</v>
      </c>
      <c r="F60" s="165">
        <v>4163.8</v>
      </c>
      <c r="G60" s="165">
        <v>61</v>
      </c>
      <c r="H60" s="165">
        <v>1.5</v>
      </c>
      <c r="I60" s="164">
        <f t="shared" si="0"/>
        <v>759.45</v>
      </c>
      <c r="J60" s="165">
        <v>0</v>
      </c>
      <c r="K60" s="164">
        <f t="shared" si="1"/>
        <v>0</v>
      </c>
      <c r="L60" s="165" t="s">
        <v>53</v>
      </c>
      <c r="M60" s="168" t="s">
        <v>54</v>
      </c>
    </row>
    <row r="61" spans="1:13" ht="122.5" x14ac:dyDescent="0.35">
      <c r="A61" s="167" t="s">
        <v>55</v>
      </c>
      <c r="B61" s="165" t="s">
        <v>88</v>
      </c>
      <c r="C61" s="165" t="s">
        <v>56</v>
      </c>
      <c r="D61" s="165">
        <v>100</v>
      </c>
      <c r="E61" s="165">
        <v>6</v>
      </c>
      <c r="F61" s="165">
        <v>14181.2</v>
      </c>
      <c r="G61" s="165">
        <v>2363</v>
      </c>
      <c r="H61" s="165">
        <v>0.14000000000000001</v>
      </c>
      <c r="I61" s="164">
        <f t="shared" si="0"/>
        <v>1984.9200000000003</v>
      </c>
      <c r="J61" s="165">
        <v>0</v>
      </c>
      <c r="K61" s="164">
        <f t="shared" si="1"/>
        <v>0</v>
      </c>
      <c r="L61" s="165" t="s">
        <v>53</v>
      </c>
      <c r="M61" s="168" t="s">
        <v>57</v>
      </c>
    </row>
    <row r="62" spans="1:13" ht="105" x14ac:dyDescent="0.35">
      <c r="A62" s="167" t="s">
        <v>58</v>
      </c>
      <c r="B62" s="165" t="s">
        <v>51</v>
      </c>
      <c r="C62" s="165" t="s">
        <v>32</v>
      </c>
      <c r="D62" s="165">
        <v>150</v>
      </c>
      <c r="E62" s="165">
        <v>0</v>
      </c>
      <c r="F62" s="165">
        <v>0</v>
      </c>
      <c r="G62" s="165">
        <v>2400</v>
      </c>
      <c r="H62" s="165">
        <v>0.19</v>
      </c>
      <c r="I62" s="164">
        <f t="shared" si="0"/>
        <v>0</v>
      </c>
      <c r="J62" s="165">
        <v>0</v>
      </c>
      <c r="K62" s="164">
        <f t="shared" si="1"/>
        <v>0</v>
      </c>
      <c r="L62" s="165" t="s">
        <v>53</v>
      </c>
      <c r="M62" s="168" t="s">
        <v>54</v>
      </c>
    </row>
    <row r="63" spans="1:13" ht="105" x14ac:dyDescent="0.35">
      <c r="A63" s="167" t="s">
        <v>50</v>
      </c>
      <c r="B63" s="165" t="s">
        <v>51</v>
      </c>
      <c r="C63" s="165" t="s">
        <v>52</v>
      </c>
      <c r="D63" s="165">
        <v>250</v>
      </c>
      <c r="E63" s="165">
        <v>0</v>
      </c>
      <c r="F63" s="165">
        <v>0</v>
      </c>
      <c r="G63" s="165">
        <v>61</v>
      </c>
      <c r="H63" s="165">
        <v>1.5</v>
      </c>
      <c r="I63" s="164">
        <f t="shared" si="0"/>
        <v>0</v>
      </c>
      <c r="J63" s="165">
        <v>0</v>
      </c>
      <c r="K63" s="164">
        <f t="shared" si="1"/>
        <v>0</v>
      </c>
      <c r="L63" s="165" t="s">
        <v>53</v>
      </c>
      <c r="M63" s="168" t="s">
        <v>54</v>
      </c>
    </row>
    <row r="64" spans="1:13" ht="105" x14ac:dyDescent="0.35">
      <c r="A64" s="167" t="s">
        <v>55</v>
      </c>
      <c r="B64" s="165" t="s">
        <v>51</v>
      </c>
      <c r="C64" s="165" t="s">
        <v>56</v>
      </c>
      <c r="D64" s="165">
        <v>70</v>
      </c>
      <c r="E64" s="165">
        <v>0</v>
      </c>
      <c r="F64" s="165">
        <v>0</v>
      </c>
      <c r="G64" s="165">
        <v>2363</v>
      </c>
      <c r="H64" s="165">
        <v>0.14000000000000001</v>
      </c>
      <c r="I64" s="164">
        <f t="shared" si="0"/>
        <v>0</v>
      </c>
      <c r="J64" s="165">
        <v>0</v>
      </c>
      <c r="K64" s="164">
        <f t="shared" si="1"/>
        <v>0</v>
      </c>
      <c r="L64" s="165" t="s">
        <v>53</v>
      </c>
      <c r="M64" s="168" t="s">
        <v>57</v>
      </c>
    </row>
    <row r="65" spans="1:13" ht="52.5" x14ac:dyDescent="0.35">
      <c r="A65" s="167" t="s">
        <v>78</v>
      </c>
      <c r="B65" s="165" t="s">
        <v>60</v>
      </c>
      <c r="C65" s="165" t="s">
        <v>26</v>
      </c>
      <c r="D65" s="165">
        <v>28</v>
      </c>
      <c r="E65" s="165">
        <v>1.6</v>
      </c>
      <c r="F65" s="165">
        <v>1160.5999999999999</v>
      </c>
      <c r="G65" s="165">
        <v>474</v>
      </c>
      <c r="H65" s="165">
        <v>0.09</v>
      </c>
      <c r="I65" s="164">
        <f t="shared" si="0"/>
        <v>68.256</v>
      </c>
      <c r="J65" s="165">
        <v>1.6</v>
      </c>
      <c r="K65" s="164">
        <f t="shared" si="1"/>
        <v>1213.4400000000003</v>
      </c>
      <c r="L65" s="165" t="s">
        <v>53</v>
      </c>
      <c r="M65" s="168" t="s">
        <v>57</v>
      </c>
    </row>
    <row r="66" spans="1:13" ht="52.5" x14ac:dyDescent="0.35">
      <c r="A66" s="167" t="s">
        <v>59</v>
      </c>
      <c r="B66" s="165" t="s">
        <v>60</v>
      </c>
      <c r="C66" s="165" t="s">
        <v>61</v>
      </c>
      <c r="D66" s="165">
        <v>32</v>
      </c>
      <c r="E66" s="165">
        <v>1.8</v>
      </c>
      <c r="F66" s="165">
        <v>2.2000000000000002</v>
      </c>
      <c r="G66" s="165">
        <v>0</v>
      </c>
      <c r="H66" s="165">
        <v>0</v>
      </c>
      <c r="I66" s="164">
        <f t="shared" si="0"/>
        <v>0</v>
      </c>
      <c r="J66" s="165">
        <v>0</v>
      </c>
      <c r="K66" s="164">
        <f t="shared" si="1"/>
        <v>0</v>
      </c>
      <c r="L66" s="165" t="s">
        <v>53</v>
      </c>
      <c r="M66" s="168" t="s">
        <v>57</v>
      </c>
    </row>
    <row r="67" spans="1:13" ht="52.5" x14ac:dyDescent="0.35">
      <c r="A67" s="167" t="s">
        <v>70</v>
      </c>
      <c r="B67" s="165" t="s">
        <v>60</v>
      </c>
      <c r="C67" s="165" t="s">
        <v>71</v>
      </c>
      <c r="D67" s="165">
        <v>25</v>
      </c>
      <c r="E67" s="165">
        <v>1.4</v>
      </c>
      <c r="F67" s="165">
        <v>296</v>
      </c>
      <c r="G67" s="165">
        <v>60</v>
      </c>
      <c r="H67" s="165">
        <v>1.02</v>
      </c>
      <c r="I67" s="164">
        <f t="shared" si="0"/>
        <v>85.68</v>
      </c>
      <c r="J67" s="165">
        <v>1.1000000000000001</v>
      </c>
      <c r="K67" s="164">
        <f t="shared" si="1"/>
        <v>92.4</v>
      </c>
      <c r="L67" s="165" t="s">
        <v>53</v>
      </c>
      <c r="M67" s="168" t="s">
        <v>54</v>
      </c>
    </row>
    <row r="68" spans="1:13" ht="52.5" x14ac:dyDescent="0.35">
      <c r="A68" s="167" t="s">
        <v>78</v>
      </c>
      <c r="B68" s="165" t="s">
        <v>130</v>
      </c>
      <c r="C68" s="165" t="s">
        <v>26</v>
      </c>
      <c r="D68" s="165">
        <v>28</v>
      </c>
      <c r="E68" s="165">
        <v>31</v>
      </c>
      <c r="F68" s="165">
        <v>21844</v>
      </c>
      <c r="G68" s="165">
        <v>474</v>
      </c>
      <c r="H68" s="165">
        <v>0.09</v>
      </c>
      <c r="I68" s="164">
        <f t="shared" si="0"/>
        <v>1322.46</v>
      </c>
      <c r="J68" s="165">
        <v>1.6</v>
      </c>
      <c r="K68" s="164">
        <f t="shared" si="1"/>
        <v>23510.400000000001</v>
      </c>
      <c r="L68" s="165" t="s">
        <v>53</v>
      </c>
      <c r="M68" s="168" t="s">
        <v>57</v>
      </c>
    </row>
    <row r="69" spans="1:13" ht="52.5" x14ac:dyDescent="0.35">
      <c r="A69" s="167" t="s">
        <v>89</v>
      </c>
      <c r="B69" s="165" t="s">
        <v>130</v>
      </c>
      <c r="C69" s="165" t="s">
        <v>20</v>
      </c>
      <c r="D69" s="165">
        <v>300</v>
      </c>
      <c r="E69" s="165">
        <v>321.5</v>
      </c>
      <c r="F69" s="165">
        <v>225132.79999999999</v>
      </c>
      <c r="G69" s="165">
        <v>470</v>
      </c>
      <c r="H69" s="165">
        <v>0.2</v>
      </c>
      <c r="I69" s="164">
        <f t="shared" si="0"/>
        <v>30221</v>
      </c>
      <c r="J69" s="165">
        <v>1.6</v>
      </c>
      <c r="K69" s="164">
        <f t="shared" si="1"/>
        <v>241768</v>
      </c>
      <c r="L69" s="165" t="s">
        <v>53</v>
      </c>
      <c r="M69" s="168" t="s">
        <v>54</v>
      </c>
    </row>
    <row r="70" spans="1:13" ht="52.5" x14ac:dyDescent="0.35">
      <c r="A70" s="167" t="s">
        <v>79</v>
      </c>
      <c r="B70" s="165" t="s">
        <v>130</v>
      </c>
      <c r="C70" s="165" t="s">
        <v>15</v>
      </c>
      <c r="D70" s="165">
        <v>15</v>
      </c>
      <c r="E70" s="165">
        <v>12.4</v>
      </c>
      <c r="F70" s="165">
        <v>10979.1</v>
      </c>
      <c r="G70" s="165">
        <v>875</v>
      </c>
      <c r="H70" s="165">
        <v>0.28000000000000003</v>
      </c>
      <c r="I70" s="164">
        <f t="shared" ref="I70:I85" si="2">(G70*E70)*H70</f>
        <v>3038.0000000000005</v>
      </c>
      <c r="J70" s="165">
        <v>0</v>
      </c>
      <c r="K70" s="164">
        <f t="shared" ref="K70:K85" si="3">(G70*E70)*J70</f>
        <v>0</v>
      </c>
      <c r="L70" s="165" t="s">
        <v>53</v>
      </c>
      <c r="M70" s="168" t="s">
        <v>57</v>
      </c>
    </row>
    <row r="71" spans="1:13" ht="52.5" x14ac:dyDescent="0.35">
      <c r="A71" s="167" t="s">
        <v>59</v>
      </c>
      <c r="B71" s="165" t="s">
        <v>130</v>
      </c>
      <c r="C71" s="165" t="s">
        <v>61</v>
      </c>
      <c r="D71" s="165">
        <v>32</v>
      </c>
      <c r="E71" s="165">
        <v>36</v>
      </c>
      <c r="F71" s="165">
        <v>42.5</v>
      </c>
      <c r="G71" s="165">
        <v>0</v>
      </c>
      <c r="H71" s="165">
        <v>0</v>
      </c>
      <c r="I71" s="164">
        <f t="shared" si="2"/>
        <v>0</v>
      </c>
      <c r="J71" s="165">
        <v>0</v>
      </c>
      <c r="K71" s="164">
        <f t="shared" si="3"/>
        <v>0</v>
      </c>
      <c r="L71" s="165" t="s">
        <v>53</v>
      </c>
      <c r="M71" s="168" t="s">
        <v>57</v>
      </c>
    </row>
    <row r="72" spans="1:13" ht="52.5" x14ac:dyDescent="0.35">
      <c r="A72" s="167" t="s">
        <v>50</v>
      </c>
      <c r="B72" s="165" t="s">
        <v>130</v>
      </c>
      <c r="C72" s="165" t="s">
        <v>52</v>
      </c>
      <c r="D72" s="165">
        <v>150</v>
      </c>
      <c r="E72" s="165">
        <v>164.5</v>
      </c>
      <c r="F72" s="165">
        <v>82483</v>
      </c>
      <c r="G72" s="165">
        <v>61</v>
      </c>
      <c r="H72" s="165">
        <v>1.5</v>
      </c>
      <c r="I72" s="164">
        <f t="shared" si="2"/>
        <v>15051.75</v>
      </c>
      <c r="J72" s="165">
        <v>0</v>
      </c>
      <c r="K72" s="164">
        <f t="shared" si="3"/>
        <v>0</v>
      </c>
      <c r="L72" s="165" t="s">
        <v>53</v>
      </c>
      <c r="M72" s="168" t="s">
        <v>54</v>
      </c>
    </row>
    <row r="73" spans="1:13" ht="70" x14ac:dyDescent="0.35">
      <c r="A73" s="167" t="s">
        <v>95</v>
      </c>
      <c r="B73" s="165" t="s">
        <v>106</v>
      </c>
      <c r="C73" s="165" t="s">
        <v>30</v>
      </c>
      <c r="D73" s="165">
        <v>440</v>
      </c>
      <c r="E73" s="165">
        <v>31.6</v>
      </c>
      <c r="F73" s="165">
        <v>75898.3</v>
      </c>
      <c r="G73" s="165">
        <v>2375</v>
      </c>
      <c r="H73" s="165">
        <v>0.15</v>
      </c>
      <c r="I73" s="164">
        <f t="shared" si="2"/>
        <v>11257.5</v>
      </c>
      <c r="J73" s="165">
        <v>0</v>
      </c>
      <c r="K73" s="164">
        <f t="shared" si="3"/>
        <v>0</v>
      </c>
      <c r="L73" s="165" t="s">
        <v>53</v>
      </c>
      <c r="M73" s="168" t="s">
        <v>54</v>
      </c>
    </row>
    <row r="74" spans="1:13" ht="70" x14ac:dyDescent="0.35">
      <c r="A74" s="167" t="s">
        <v>95</v>
      </c>
      <c r="B74" s="165" t="s">
        <v>77</v>
      </c>
      <c r="C74" s="165" t="s">
        <v>30</v>
      </c>
      <c r="D74" s="165">
        <v>100</v>
      </c>
      <c r="E74" s="165">
        <v>27.1</v>
      </c>
      <c r="F74" s="165">
        <v>65022.3</v>
      </c>
      <c r="G74" s="165">
        <v>2375</v>
      </c>
      <c r="H74" s="165">
        <v>0.15</v>
      </c>
      <c r="I74" s="164">
        <f t="shared" si="2"/>
        <v>9654.375</v>
      </c>
      <c r="J74" s="165">
        <v>0</v>
      </c>
      <c r="K74" s="164">
        <f t="shared" si="3"/>
        <v>0</v>
      </c>
      <c r="L74" s="165" t="s">
        <v>53</v>
      </c>
      <c r="M74" s="168" t="s">
        <v>54</v>
      </c>
    </row>
    <row r="75" spans="1:13" ht="70" x14ac:dyDescent="0.35">
      <c r="A75" s="167" t="s">
        <v>95</v>
      </c>
      <c r="B75" s="165" t="s">
        <v>77</v>
      </c>
      <c r="C75" s="165" t="s">
        <v>30</v>
      </c>
      <c r="D75" s="165">
        <v>200</v>
      </c>
      <c r="E75" s="165">
        <v>52.9</v>
      </c>
      <c r="F75" s="165">
        <v>126894.5</v>
      </c>
      <c r="G75" s="165">
        <v>2375</v>
      </c>
      <c r="H75" s="165">
        <v>0.15</v>
      </c>
      <c r="I75" s="164">
        <f t="shared" si="2"/>
        <v>18845.625</v>
      </c>
      <c r="J75" s="165">
        <v>0</v>
      </c>
      <c r="K75" s="164">
        <f t="shared" si="3"/>
        <v>0</v>
      </c>
      <c r="L75" s="165" t="s">
        <v>53</v>
      </c>
      <c r="M75" s="168" t="s">
        <v>54</v>
      </c>
    </row>
    <row r="76" spans="1:13" ht="52.5" x14ac:dyDescent="0.35">
      <c r="A76" s="167" t="s">
        <v>72</v>
      </c>
      <c r="B76" s="165" t="s">
        <v>77</v>
      </c>
      <c r="C76" s="165" t="s">
        <v>74</v>
      </c>
      <c r="D76" s="165">
        <v>140</v>
      </c>
      <c r="E76" s="165">
        <v>37.6</v>
      </c>
      <c r="F76" s="165">
        <v>1051.9000000000001</v>
      </c>
      <c r="G76" s="165">
        <v>16</v>
      </c>
      <c r="H76" s="165">
        <v>3.5</v>
      </c>
      <c r="I76" s="164">
        <f t="shared" si="2"/>
        <v>2105.6</v>
      </c>
      <c r="J76" s="165">
        <v>0</v>
      </c>
      <c r="K76" s="164">
        <f t="shared" si="3"/>
        <v>0</v>
      </c>
      <c r="L76" s="165" t="s">
        <v>53</v>
      </c>
      <c r="M76" s="168" t="s">
        <v>54</v>
      </c>
    </row>
    <row r="77" spans="1:13" ht="70" x14ac:dyDescent="0.35">
      <c r="A77" s="167" t="s">
        <v>95</v>
      </c>
      <c r="B77" s="165" t="s">
        <v>107</v>
      </c>
      <c r="C77" s="165" t="s">
        <v>31</v>
      </c>
      <c r="D77" s="165">
        <v>270</v>
      </c>
      <c r="E77" s="165">
        <v>89</v>
      </c>
      <c r="F77" s="165">
        <v>115655.8</v>
      </c>
      <c r="G77" s="165">
        <v>1410</v>
      </c>
      <c r="H77" s="165">
        <v>0.17</v>
      </c>
      <c r="I77" s="164">
        <f t="shared" si="2"/>
        <v>21333.300000000003</v>
      </c>
      <c r="J77" s="165">
        <v>0</v>
      </c>
      <c r="K77" s="164">
        <f t="shared" si="3"/>
        <v>0</v>
      </c>
      <c r="L77" s="165" t="s">
        <v>53</v>
      </c>
      <c r="M77" s="168" t="s">
        <v>54</v>
      </c>
    </row>
    <row r="78" spans="1:13" ht="70" x14ac:dyDescent="0.35">
      <c r="A78" s="167" t="s">
        <v>72</v>
      </c>
      <c r="B78" s="165" t="s">
        <v>73</v>
      </c>
      <c r="C78" s="165" t="s">
        <v>74</v>
      </c>
      <c r="D78" s="165">
        <v>250</v>
      </c>
      <c r="E78" s="165">
        <v>13.9</v>
      </c>
      <c r="F78" s="165">
        <v>388.1</v>
      </c>
      <c r="G78" s="165">
        <v>16</v>
      </c>
      <c r="H78" s="165">
        <v>3.5</v>
      </c>
      <c r="I78" s="164">
        <f t="shared" si="2"/>
        <v>778.4</v>
      </c>
      <c r="J78" s="165">
        <v>0</v>
      </c>
      <c r="K78" s="164">
        <f t="shared" si="3"/>
        <v>0</v>
      </c>
      <c r="L78" s="165" t="s">
        <v>53</v>
      </c>
      <c r="M78" s="168" t="s">
        <v>54</v>
      </c>
    </row>
    <row r="79" spans="1:13" ht="70" x14ac:dyDescent="0.35">
      <c r="A79" s="167" t="s">
        <v>55</v>
      </c>
      <c r="B79" s="165" t="s">
        <v>73</v>
      </c>
      <c r="C79" s="165" t="s">
        <v>56</v>
      </c>
      <c r="D79" s="165">
        <v>150</v>
      </c>
      <c r="E79" s="165">
        <v>8.3000000000000007</v>
      </c>
      <c r="F79" s="165">
        <v>19539.400000000001</v>
      </c>
      <c r="G79" s="165">
        <v>2363</v>
      </c>
      <c r="H79" s="165">
        <v>0.14000000000000001</v>
      </c>
      <c r="I79" s="164">
        <f t="shared" si="2"/>
        <v>2745.8060000000005</v>
      </c>
      <c r="J79" s="165">
        <v>0</v>
      </c>
      <c r="K79" s="164">
        <f t="shared" si="3"/>
        <v>0</v>
      </c>
      <c r="L79" s="165" t="s">
        <v>53</v>
      </c>
      <c r="M79" s="168" t="s">
        <v>57</v>
      </c>
    </row>
    <row r="80" spans="1:13" ht="52.5" x14ac:dyDescent="0.35">
      <c r="A80" s="167" t="s">
        <v>72</v>
      </c>
      <c r="B80" s="165" t="s">
        <v>84</v>
      </c>
      <c r="C80" s="165" t="s">
        <v>74</v>
      </c>
      <c r="D80" s="165">
        <v>300</v>
      </c>
      <c r="E80" s="165">
        <v>104.5</v>
      </c>
      <c r="F80" s="165">
        <v>2917.9</v>
      </c>
      <c r="G80" s="165">
        <v>16</v>
      </c>
      <c r="H80" s="165">
        <v>3.5</v>
      </c>
      <c r="I80" s="164">
        <f t="shared" si="2"/>
        <v>5852</v>
      </c>
      <c r="J80" s="165">
        <v>0</v>
      </c>
      <c r="K80" s="164">
        <f t="shared" si="3"/>
        <v>0</v>
      </c>
      <c r="L80" s="165" t="s">
        <v>53</v>
      </c>
      <c r="M80" s="168" t="s">
        <v>54</v>
      </c>
    </row>
    <row r="81" spans="1:13" ht="52.5" x14ac:dyDescent="0.35">
      <c r="A81" s="167" t="s">
        <v>55</v>
      </c>
      <c r="B81" s="165" t="s">
        <v>84</v>
      </c>
      <c r="C81" s="165" t="s">
        <v>56</v>
      </c>
      <c r="D81" s="165">
        <v>100</v>
      </c>
      <c r="E81" s="165">
        <v>34.700000000000003</v>
      </c>
      <c r="F81" s="165">
        <v>81845.100000000006</v>
      </c>
      <c r="G81" s="165">
        <v>2363</v>
      </c>
      <c r="H81" s="165">
        <v>0.14000000000000001</v>
      </c>
      <c r="I81" s="164">
        <f t="shared" si="2"/>
        <v>11479.454000000002</v>
      </c>
      <c r="J81" s="165">
        <v>0</v>
      </c>
      <c r="K81" s="164">
        <f t="shared" si="3"/>
        <v>0</v>
      </c>
      <c r="L81" s="165" t="s">
        <v>53</v>
      </c>
      <c r="M81" s="168" t="s">
        <v>57</v>
      </c>
    </row>
    <row r="82" spans="1:13" ht="70" x14ac:dyDescent="0.35">
      <c r="A82" s="167" t="s">
        <v>58</v>
      </c>
      <c r="B82" s="165" t="s">
        <v>82</v>
      </c>
      <c r="C82" s="165" t="s">
        <v>32</v>
      </c>
      <c r="D82" s="165">
        <v>540</v>
      </c>
      <c r="E82" s="165">
        <v>17.600000000000001</v>
      </c>
      <c r="F82" s="165">
        <v>42896.4</v>
      </c>
      <c r="G82" s="165">
        <v>2400</v>
      </c>
      <c r="H82" s="165">
        <v>0.19</v>
      </c>
      <c r="I82" s="164">
        <f t="shared" si="2"/>
        <v>8025.6</v>
      </c>
      <c r="J82" s="165">
        <v>0</v>
      </c>
      <c r="K82" s="164">
        <f t="shared" si="3"/>
        <v>0</v>
      </c>
      <c r="L82" s="165" t="s">
        <v>53</v>
      </c>
      <c r="M82" s="168" t="s">
        <v>54</v>
      </c>
    </row>
    <row r="83" spans="1:13" ht="70" x14ac:dyDescent="0.35">
      <c r="A83" s="167" t="s">
        <v>58</v>
      </c>
      <c r="B83" s="165" t="s">
        <v>82</v>
      </c>
      <c r="C83" s="165" t="s">
        <v>32</v>
      </c>
      <c r="D83" s="165">
        <v>740</v>
      </c>
      <c r="E83" s="165">
        <v>20.399999999999999</v>
      </c>
      <c r="F83" s="165">
        <v>49174.7</v>
      </c>
      <c r="G83" s="165">
        <v>2400</v>
      </c>
      <c r="H83" s="165">
        <v>0.19</v>
      </c>
      <c r="I83" s="164">
        <f t="shared" si="2"/>
        <v>9302.4</v>
      </c>
      <c r="J83" s="165">
        <v>0</v>
      </c>
      <c r="K83" s="164">
        <f t="shared" si="3"/>
        <v>0</v>
      </c>
      <c r="L83" s="165" t="s">
        <v>53</v>
      </c>
      <c r="M83" s="168" t="s">
        <v>54</v>
      </c>
    </row>
    <row r="84" spans="1:13" ht="52.5" x14ac:dyDescent="0.35">
      <c r="A84" s="167" t="s">
        <v>89</v>
      </c>
      <c r="B84" s="165" t="s">
        <v>82</v>
      </c>
      <c r="C84" s="165" t="s">
        <v>24</v>
      </c>
      <c r="D84" s="165">
        <v>51</v>
      </c>
      <c r="E84" s="165">
        <v>96.8</v>
      </c>
      <c r="F84" s="165">
        <v>61423.6</v>
      </c>
      <c r="G84" s="165">
        <v>470</v>
      </c>
      <c r="H84" s="165">
        <v>0.36</v>
      </c>
      <c r="I84" s="164">
        <f t="shared" si="2"/>
        <v>16378.56</v>
      </c>
      <c r="J84" s="165">
        <v>1.6</v>
      </c>
      <c r="K84" s="164">
        <f t="shared" si="3"/>
        <v>72793.600000000006</v>
      </c>
      <c r="L84" s="165" t="s">
        <v>53</v>
      </c>
      <c r="M84" s="168" t="s">
        <v>54</v>
      </c>
    </row>
    <row r="85" spans="1:13" ht="52.5" x14ac:dyDescent="0.35">
      <c r="A85" s="167" t="s">
        <v>81</v>
      </c>
      <c r="B85" s="165" t="s">
        <v>82</v>
      </c>
      <c r="C85" s="165" t="s">
        <v>18</v>
      </c>
      <c r="D85" s="165">
        <v>5</v>
      </c>
      <c r="E85" s="165">
        <v>0</v>
      </c>
      <c r="F85" s="165">
        <v>1523.5</v>
      </c>
      <c r="G85" s="165">
        <v>1620</v>
      </c>
      <c r="H85" s="165">
        <v>0.16</v>
      </c>
      <c r="I85" s="164">
        <f t="shared" si="2"/>
        <v>0</v>
      </c>
      <c r="J85" s="165">
        <v>0</v>
      </c>
      <c r="K85" s="164">
        <f t="shared" si="3"/>
        <v>0</v>
      </c>
      <c r="L85" s="165" t="s">
        <v>53</v>
      </c>
      <c r="M85" s="168" t="s">
        <v>83</v>
      </c>
    </row>
    <row r="86" spans="1:13" ht="17.5" x14ac:dyDescent="0.35">
      <c r="A86" s="165" t="s">
        <v>109</v>
      </c>
      <c r="B86" s="165" t="s">
        <v>109</v>
      </c>
      <c r="C86" s="165" t="s">
        <v>109</v>
      </c>
      <c r="D86" s="165" t="s">
        <v>109</v>
      </c>
      <c r="E86" s="165">
        <v>4378</v>
      </c>
      <c r="F86" s="165" t="s">
        <v>109</v>
      </c>
      <c r="G86" s="165" t="s">
        <v>109</v>
      </c>
      <c r="H86" s="165">
        <v>4378</v>
      </c>
      <c r="I86" s="164">
        <f>SUM(I6:I85)</f>
        <v>384503.21299999999</v>
      </c>
      <c r="J86" s="164"/>
      <c r="K86" s="164">
        <f t="shared" ref="K86" si="4">SUM(K6:K85)</f>
        <v>654635.76</v>
      </c>
      <c r="L86" s="165" t="s">
        <v>109</v>
      </c>
      <c r="M86" s="165" t="s">
        <v>109</v>
      </c>
    </row>
    <row r="87" spans="1:13" ht="15.5" x14ac:dyDescent="0.35">
      <c r="A87" s="164"/>
      <c r="B87" s="164"/>
      <c r="C87" s="164"/>
      <c r="D87" s="164"/>
      <c r="E87" s="164"/>
      <c r="F87" s="164"/>
      <c r="G87" s="164"/>
      <c r="H87" s="164"/>
      <c r="I87" s="164"/>
      <c r="J87" s="164"/>
      <c r="K87" s="164"/>
      <c r="L87" s="164"/>
      <c r="M87" s="164"/>
    </row>
    <row r="88" spans="1:13" ht="15.5" x14ac:dyDescent="0.35">
      <c r="A88" s="164"/>
      <c r="B88" s="164"/>
      <c r="C88" s="164"/>
      <c r="D88" s="164"/>
      <c r="E88" s="164"/>
      <c r="F88" s="164"/>
      <c r="G88" s="164"/>
      <c r="H88" s="164"/>
      <c r="I88" s="164"/>
      <c r="J88" s="169">
        <f>I86-K86</f>
        <v>-270132.54700000002</v>
      </c>
      <c r="K88" s="164" t="s">
        <v>44</v>
      </c>
      <c r="L88" s="164"/>
      <c r="M88" s="164"/>
    </row>
    <row r="89" spans="1:13" ht="15.5" x14ac:dyDescent="0.35">
      <c r="A89" s="164"/>
      <c r="B89" s="164"/>
      <c r="C89" s="164"/>
      <c r="D89" s="164"/>
      <c r="E89" s="164"/>
      <c r="F89" s="164"/>
      <c r="G89" s="164"/>
      <c r="H89" s="164"/>
      <c r="I89" s="164"/>
      <c r="J89" s="169">
        <f>J88/1000</f>
        <v>-270.13254700000005</v>
      </c>
      <c r="K89" s="164" t="s">
        <v>183</v>
      </c>
      <c r="L89" s="164"/>
      <c r="M89" s="164"/>
    </row>
    <row r="90" spans="1:13" ht="15.5" x14ac:dyDescent="0.35">
      <c r="A90" s="164"/>
      <c r="B90" s="164"/>
      <c r="C90" s="164"/>
      <c r="D90" s="164"/>
      <c r="E90" s="164"/>
      <c r="F90" s="164"/>
      <c r="G90" s="164"/>
      <c r="H90" s="164"/>
      <c r="I90" s="164"/>
      <c r="J90" s="164"/>
      <c r="K90" s="164"/>
      <c r="L90" s="164"/>
      <c r="M90" s="164"/>
    </row>
    <row r="91" spans="1:13" ht="15.5" x14ac:dyDescent="0.3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</row>
  </sheetData>
  <mergeCells count="1">
    <mergeCell ref="A3:K3"/>
  </mergeCells>
  <pageMargins left="0.7" right="0.7" top="0.75" bottom="0.75" header="0.3" footer="0.3"/>
  <pageSetup paperSize="9" orientation="portrait" verticalDpi="0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D7EFAE-8F8D-4E15-A433-DADBD7CA96E3}">
  <dimension ref="A1:M90"/>
  <sheetViews>
    <sheetView workbookViewId="0">
      <selection sqref="A1:M90"/>
    </sheetView>
  </sheetViews>
  <sheetFormatPr defaultRowHeight="14.5" x14ac:dyDescent="0.35"/>
  <cols>
    <col min="4" max="5" width="8.81640625" bestFit="1" customWidth="1"/>
    <col min="6" max="6" width="9.7265625" bestFit="1" customWidth="1"/>
    <col min="7" max="11" width="8.81640625" bestFit="1" customWidth="1"/>
  </cols>
  <sheetData>
    <row r="1" spans="1:13" ht="17.5" x14ac:dyDescent="0.45">
      <c r="A1" s="163" t="s">
        <v>348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4"/>
      <c r="M1" s="4"/>
    </row>
    <row r="2" spans="1:13" ht="17.5" x14ac:dyDescent="0.45">
      <c r="A2" s="163"/>
      <c r="B2" s="163"/>
      <c r="C2" s="163"/>
      <c r="D2" s="163"/>
      <c r="E2" s="163"/>
      <c r="F2" s="163"/>
      <c r="G2" s="163"/>
      <c r="H2" s="163"/>
      <c r="I2" s="163"/>
      <c r="J2" s="163"/>
      <c r="K2" s="163"/>
      <c r="L2" s="4"/>
      <c r="M2" s="4"/>
    </row>
    <row r="3" spans="1:13" ht="17.5" x14ac:dyDescent="0.35">
      <c r="A3" s="266" t="s">
        <v>270</v>
      </c>
      <c r="B3" s="266"/>
      <c r="C3" s="266"/>
      <c r="D3" s="266"/>
      <c r="E3" s="266"/>
      <c r="F3" s="266"/>
      <c r="G3" s="266"/>
      <c r="H3" s="266"/>
      <c r="I3" s="266"/>
      <c r="J3" s="266"/>
      <c r="K3" s="266"/>
      <c r="L3" s="4"/>
      <c r="M3" s="4"/>
    </row>
    <row r="4" spans="1:13" ht="87.5" x14ac:dyDescent="0.35">
      <c r="A4" s="136" t="s">
        <v>36</v>
      </c>
      <c r="B4" s="136" t="s">
        <v>37</v>
      </c>
      <c r="C4" s="136" t="s">
        <v>38</v>
      </c>
      <c r="D4" s="136" t="s">
        <v>39</v>
      </c>
      <c r="E4" s="136" t="s">
        <v>40</v>
      </c>
      <c r="F4" s="136" t="s">
        <v>41</v>
      </c>
      <c r="G4" s="136" t="s">
        <v>42</v>
      </c>
      <c r="H4" s="136" t="s">
        <v>43</v>
      </c>
      <c r="I4" s="151" t="s">
        <v>44</v>
      </c>
      <c r="J4" s="136" t="s">
        <v>45</v>
      </c>
      <c r="K4" s="151" t="s">
        <v>44</v>
      </c>
      <c r="L4" s="136" t="s">
        <v>46</v>
      </c>
      <c r="M4" s="136" t="s">
        <v>47</v>
      </c>
    </row>
    <row r="5" spans="1:13" ht="52.5" x14ac:dyDescent="0.35">
      <c r="A5" s="155" t="s">
        <v>48</v>
      </c>
      <c r="B5" s="156" t="s">
        <v>49</v>
      </c>
      <c r="C5" s="156" t="s">
        <v>38</v>
      </c>
      <c r="D5" s="156" t="s">
        <v>265</v>
      </c>
      <c r="E5" s="156" t="s">
        <v>264</v>
      </c>
      <c r="F5" s="156" t="s">
        <v>113</v>
      </c>
      <c r="G5" s="156" t="s">
        <v>114</v>
      </c>
      <c r="H5" s="156" t="s">
        <v>115</v>
      </c>
      <c r="I5" s="4" t="s">
        <v>44</v>
      </c>
      <c r="J5" s="156" t="s">
        <v>269</v>
      </c>
      <c r="K5" s="4" t="s">
        <v>117</v>
      </c>
      <c r="L5" s="156" t="s">
        <v>152</v>
      </c>
      <c r="M5" s="157" t="s">
        <v>263</v>
      </c>
    </row>
    <row r="6" spans="1:13" ht="87.5" x14ac:dyDescent="0.35">
      <c r="A6" s="155" t="s">
        <v>75</v>
      </c>
      <c r="B6" s="156" t="s">
        <v>92</v>
      </c>
      <c r="C6" s="156" t="s">
        <v>76</v>
      </c>
      <c r="D6" s="156">
        <v>450</v>
      </c>
      <c r="E6" s="156">
        <v>194.7</v>
      </c>
      <c r="F6" s="156">
        <v>7787.1</v>
      </c>
      <c r="G6" s="156">
        <v>33</v>
      </c>
      <c r="H6" s="156">
        <v>1.5</v>
      </c>
      <c r="I6" s="4">
        <f t="shared" ref="I6:I69" si="0">(G6*E6)*H6</f>
        <v>9637.65</v>
      </c>
      <c r="J6" s="156">
        <v>0</v>
      </c>
      <c r="K6" s="4">
        <f t="shared" ref="K6:K69" si="1">(G6*E6)*J6</f>
        <v>0</v>
      </c>
      <c r="L6" s="156" t="s">
        <v>53</v>
      </c>
      <c r="M6" s="157" t="s">
        <v>57</v>
      </c>
    </row>
    <row r="7" spans="1:13" ht="87.5" x14ac:dyDescent="0.35">
      <c r="A7" s="155" t="s">
        <v>89</v>
      </c>
      <c r="B7" s="156" t="s">
        <v>92</v>
      </c>
      <c r="C7" s="156" t="s">
        <v>20</v>
      </c>
      <c r="D7" s="156">
        <v>80</v>
      </c>
      <c r="E7" s="156">
        <v>34.6</v>
      </c>
      <c r="F7" s="156">
        <v>24226.7</v>
      </c>
      <c r="G7" s="156">
        <v>470</v>
      </c>
      <c r="H7" s="156">
        <v>0.2</v>
      </c>
      <c r="I7" s="4">
        <f t="shared" si="0"/>
        <v>3252.4</v>
      </c>
      <c r="J7" s="156">
        <v>1.6</v>
      </c>
      <c r="K7" s="4">
        <f t="shared" si="1"/>
        <v>26019.200000000001</v>
      </c>
      <c r="L7" s="156" t="s">
        <v>53</v>
      </c>
      <c r="M7" s="157" t="s">
        <v>54</v>
      </c>
    </row>
    <row r="8" spans="1:13" ht="87.5" x14ac:dyDescent="0.35">
      <c r="A8" s="155" t="s">
        <v>98</v>
      </c>
      <c r="B8" s="156" t="s">
        <v>99</v>
      </c>
      <c r="C8" s="156" t="s">
        <v>100</v>
      </c>
      <c r="D8" s="156">
        <v>125</v>
      </c>
      <c r="E8" s="156">
        <v>11.4</v>
      </c>
      <c r="F8" s="156">
        <v>16007.9</v>
      </c>
      <c r="G8" s="156">
        <v>644</v>
      </c>
      <c r="H8" s="156">
        <v>0.26</v>
      </c>
      <c r="I8" s="4">
        <f t="shared" si="0"/>
        <v>1908.8160000000003</v>
      </c>
      <c r="J8" s="156">
        <v>0</v>
      </c>
      <c r="K8" s="4">
        <f t="shared" si="1"/>
        <v>0</v>
      </c>
      <c r="L8" s="156" t="s">
        <v>53</v>
      </c>
      <c r="M8" s="157" t="s">
        <v>57</v>
      </c>
    </row>
    <row r="9" spans="1:13" ht="87.5" x14ac:dyDescent="0.35">
      <c r="A9" s="155" t="s">
        <v>58</v>
      </c>
      <c r="B9" s="156" t="s">
        <v>108</v>
      </c>
      <c r="C9" s="156" t="s">
        <v>32</v>
      </c>
      <c r="D9" s="156">
        <v>200</v>
      </c>
      <c r="E9" s="156">
        <v>64.2</v>
      </c>
      <c r="F9" s="156">
        <v>153606.1</v>
      </c>
      <c r="G9" s="156">
        <v>2400</v>
      </c>
      <c r="H9" s="156">
        <v>0.19</v>
      </c>
      <c r="I9" s="4">
        <f t="shared" si="0"/>
        <v>29275.200000000001</v>
      </c>
      <c r="J9" s="156">
        <v>0</v>
      </c>
      <c r="K9" s="4">
        <f t="shared" si="1"/>
        <v>0</v>
      </c>
      <c r="L9" s="156" t="s">
        <v>53</v>
      </c>
      <c r="M9" s="157" t="s">
        <v>57</v>
      </c>
    </row>
    <row r="10" spans="1:13" ht="70" x14ac:dyDescent="0.35">
      <c r="A10" s="155" t="s">
        <v>58</v>
      </c>
      <c r="B10" s="156" t="s">
        <v>103</v>
      </c>
      <c r="C10" s="156" t="s">
        <v>32</v>
      </c>
      <c r="D10" s="156">
        <v>300</v>
      </c>
      <c r="E10" s="156">
        <v>15</v>
      </c>
      <c r="F10" s="156">
        <v>36148.300000000003</v>
      </c>
      <c r="G10" s="156">
        <v>2400</v>
      </c>
      <c r="H10" s="156">
        <v>0.19</v>
      </c>
      <c r="I10" s="4">
        <f t="shared" si="0"/>
        <v>6840</v>
      </c>
      <c r="J10" s="156">
        <v>0</v>
      </c>
      <c r="K10" s="4">
        <f t="shared" si="1"/>
        <v>0</v>
      </c>
      <c r="L10" s="156" t="s">
        <v>53</v>
      </c>
      <c r="M10" s="157" t="s">
        <v>54</v>
      </c>
    </row>
    <row r="11" spans="1:13" ht="70" x14ac:dyDescent="0.35">
      <c r="A11" s="155" t="s">
        <v>58</v>
      </c>
      <c r="B11" s="156" t="s">
        <v>105</v>
      </c>
      <c r="C11" s="156" t="s">
        <v>32</v>
      </c>
      <c r="D11" s="156">
        <v>300</v>
      </c>
      <c r="E11" s="156">
        <v>24</v>
      </c>
      <c r="F11" s="156">
        <v>57635.5</v>
      </c>
      <c r="G11" s="156">
        <v>2400</v>
      </c>
      <c r="H11" s="156">
        <v>0.19</v>
      </c>
      <c r="I11" s="4">
        <f t="shared" si="0"/>
        <v>10944</v>
      </c>
      <c r="J11" s="156">
        <v>0</v>
      </c>
      <c r="K11" s="4">
        <f t="shared" si="1"/>
        <v>0</v>
      </c>
      <c r="L11" s="156" t="s">
        <v>53</v>
      </c>
      <c r="M11" s="157" t="s">
        <v>57</v>
      </c>
    </row>
    <row r="12" spans="1:13" ht="70" x14ac:dyDescent="0.35">
      <c r="A12" s="155" t="s">
        <v>50</v>
      </c>
      <c r="B12" s="156" t="s">
        <v>97</v>
      </c>
      <c r="C12" s="156" t="s">
        <v>52</v>
      </c>
      <c r="D12" s="156">
        <v>66</v>
      </c>
      <c r="E12" s="156">
        <v>71.5</v>
      </c>
      <c r="F12" s="156">
        <v>35262.9</v>
      </c>
      <c r="G12" s="156">
        <v>61</v>
      </c>
      <c r="H12" s="156">
        <v>1.5</v>
      </c>
      <c r="I12" s="4">
        <f t="shared" si="0"/>
        <v>6542.25</v>
      </c>
      <c r="J12" s="156">
        <v>0</v>
      </c>
      <c r="K12" s="4">
        <f t="shared" si="1"/>
        <v>0</v>
      </c>
      <c r="L12" s="156" t="s">
        <v>53</v>
      </c>
      <c r="M12" s="157" t="s">
        <v>54</v>
      </c>
    </row>
    <row r="13" spans="1:13" ht="70" x14ac:dyDescent="0.35">
      <c r="A13" s="155" t="s">
        <v>79</v>
      </c>
      <c r="B13" s="156" t="s">
        <v>97</v>
      </c>
      <c r="C13" s="156" t="s">
        <v>15</v>
      </c>
      <c r="D13" s="156">
        <v>13</v>
      </c>
      <c r="E13" s="156">
        <v>16.5</v>
      </c>
      <c r="F13" s="156">
        <v>11922.9</v>
      </c>
      <c r="G13" s="156">
        <v>875</v>
      </c>
      <c r="H13" s="156">
        <v>0.28000000000000003</v>
      </c>
      <c r="I13" s="4">
        <f t="shared" si="0"/>
        <v>4042.5000000000005</v>
      </c>
      <c r="J13" s="156">
        <v>0</v>
      </c>
      <c r="K13" s="4">
        <f t="shared" si="1"/>
        <v>0</v>
      </c>
      <c r="L13" s="156" t="s">
        <v>53</v>
      </c>
      <c r="M13" s="157" t="s">
        <v>54</v>
      </c>
    </row>
    <row r="14" spans="1:13" ht="70" x14ac:dyDescent="0.35">
      <c r="A14" s="155" t="s">
        <v>79</v>
      </c>
      <c r="B14" s="156" t="s">
        <v>97</v>
      </c>
      <c r="C14" s="156" t="s">
        <v>15</v>
      </c>
      <c r="D14" s="156">
        <v>13</v>
      </c>
      <c r="E14" s="156">
        <v>16.5</v>
      </c>
      <c r="F14" s="156">
        <v>12982.8</v>
      </c>
      <c r="G14" s="156">
        <v>875</v>
      </c>
      <c r="H14" s="156">
        <v>0.28000000000000003</v>
      </c>
      <c r="I14" s="4">
        <f t="shared" si="0"/>
        <v>4042.5000000000005</v>
      </c>
      <c r="J14" s="156">
        <v>0</v>
      </c>
      <c r="K14" s="4">
        <f t="shared" si="1"/>
        <v>0</v>
      </c>
      <c r="L14" s="156" t="s">
        <v>53</v>
      </c>
      <c r="M14" s="157" t="s">
        <v>57</v>
      </c>
    </row>
    <row r="15" spans="1:13" ht="122.5" x14ac:dyDescent="0.35">
      <c r="A15" s="155" t="s">
        <v>50</v>
      </c>
      <c r="B15" s="156" t="s">
        <v>62</v>
      </c>
      <c r="C15" s="156" t="s">
        <v>52</v>
      </c>
      <c r="D15" s="156">
        <v>98</v>
      </c>
      <c r="E15" s="156">
        <v>21.6</v>
      </c>
      <c r="F15" s="156">
        <v>10568.4</v>
      </c>
      <c r="G15" s="156">
        <v>61</v>
      </c>
      <c r="H15" s="156">
        <v>1.5</v>
      </c>
      <c r="I15" s="4">
        <f t="shared" si="0"/>
        <v>1976.4</v>
      </c>
      <c r="J15" s="156">
        <v>0</v>
      </c>
      <c r="K15" s="4">
        <f t="shared" si="1"/>
        <v>0</v>
      </c>
      <c r="L15" s="156" t="s">
        <v>53</v>
      </c>
      <c r="M15" s="157" t="s">
        <v>57</v>
      </c>
    </row>
    <row r="16" spans="1:13" ht="122.5" x14ac:dyDescent="0.35">
      <c r="A16" s="155" t="s">
        <v>59</v>
      </c>
      <c r="B16" s="156" t="s">
        <v>62</v>
      </c>
      <c r="C16" s="156" t="s">
        <v>61</v>
      </c>
      <c r="D16" s="156">
        <v>20</v>
      </c>
      <c r="E16" s="156">
        <v>4.2</v>
      </c>
      <c r="F16" s="156">
        <v>5.3</v>
      </c>
      <c r="G16" s="156">
        <v>0</v>
      </c>
      <c r="H16" s="156">
        <v>0</v>
      </c>
      <c r="I16" s="4">
        <f t="shared" si="0"/>
        <v>0</v>
      </c>
      <c r="J16" s="156">
        <v>0</v>
      </c>
      <c r="K16" s="4">
        <f t="shared" si="1"/>
        <v>0</v>
      </c>
      <c r="L16" s="156" t="s">
        <v>53</v>
      </c>
      <c r="M16" s="157" t="s">
        <v>57</v>
      </c>
    </row>
    <row r="17" spans="1:13" ht="122.5" x14ac:dyDescent="0.35">
      <c r="A17" s="155" t="s">
        <v>79</v>
      </c>
      <c r="B17" s="156" t="s">
        <v>62</v>
      </c>
      <c r="C17" s="156" t="s">
        <v>15</v>
      </c>
      <c r="D17" s="156">
        <v>15</v>
      </c>
      <c r="E17" s="156">
        <v>3</v>
      </c>
      <c r="F17" s="156">
        <v>2582.4</v>
      </c>
      <c r="G17" s="156">
        <v>875</v>
      </c>
      <c r="H17" s="156">
        <v>0.28000000000000003</v>
      </c>
      <c r="I17" s="4">
        <f t="shared" si="0"/>
        <v>735.00000000000011</v>
      </c>
      <c r="J17" s="156">
        <v>0</v>
      </c>
      <c r="K17" s="4">
        <f t="shared" si="1"/>
        <v>0</v>
      </c>
      <c r="L17" s="156" t="s">
        <v>53</v>
      </c>
      <c r="M17" s="157" t="s">
        <v>54</v>
      </c>
    </row>
    <row r="18" spans="1:13" ht="122.5" x14ac:dyDescent="0.35">
      <c r="A18" s="155" t="s">
        <v>79</v>
      </c>
      <c r="B18" s="156" t="s">
        <v>62</v>
      </c>
      <c r="C18" s="156" t="s">
        <v>15</v>
      </c>
      <c r="D18" s="156">
        <v>15</v>
      </c>
      <c r="E18" s="156">
        <v>6</v>
      </c>
      <c r="F18" s="156">
        <v>5815.3</v>
      </c>
      <c r="G18" s="156">
        <v>875</v>
      </c>
      <c r="H18" s="156">
        <v>0.28000000000000003</v>
      </c>
      <c r="I18" s="4">
        <f t="shared" si="0"/>
        <v>1470.0000000000002</v>
      </c>
      <c r="J18" s="156">
        <v>0</v>
      </c>
      <c r="K18" s="4">
        <f t="shared" si="1"/>
        <v>0</v>
      </c>
      <c r="L18" s="156" t="s">
        <v>53</v>
      </c>
      <c r="M18" s="157" t="s">
        <v>57</v>
      </c>
    </row>
    <row r="19" spans="1:13" ht="122.5" x14ac:dyDescent="0.35">
      <c r="A19" s="155" t="s">
        <v>89</v>
      </c>
      <c r="B19" s="156" t="s">
        <v>62</v>
      </c>
      <c r="C19" s="156" t="s">
        <v>20</v>
      </c>
      <c r="D19" s="156">
        <v>80</v>
      </c>
      <c r="E19" s="156">
        <v>16.399999999999999</v>
      </c>
      <c r="F19" s="156">
        <v>11803.5</v>
      </c>
      <c r="G19" s="156">
        <v>470</v>
      </c>
      <c r="H19" s="156">
        <v>0.2</v>
      </c>
      <c r="I19" s="4">
        <f t="shared" si="0"/>
        <v>1541.6</v>
      </c>
      <c r="J19" s="156">
        <v>1.6</v>
      </c>
      <c r="K19" s="4">
        <f t="shared" si="1"/>
        <v>12332.8</v>
      </c>
      <c r="L19" s="156" t="s">
        <v>53</v>
      </c>
      <c r="M19" s="157" t="s">
        <v>57</v>
      </c>
    </row>
    <row r="20" spans="1:13" ht="52.5" x14ac:dyDescent="0.35">
      <c r="A20" s="155" t="s">
        <v>79</v>
      </c>
      <c r="B20" s="156" t="s">
        <v>80</v>
      </c>
      <c r="C20" s="156" t="s">
        <v>15</v>
      </c>
      <c r="D20" s="156">
        <v>15</v>
      </c>
      <c r="E20" s="156">
        <v>1.8</v>
      </c>
      <c r="F20" s="156">
        <v>1513.7</v>
      </c>
      <c r="G20" s="156">
        <v>875</v>
      </c>
      <c r="H20" s="156">
        <v>0.28000000000000003</v>
      </c>
      <c r="I20" s="4">
        <f t="shared" si="0"/>
        <v>441.00000000000006</v>
      </c>
      <c r="J20" s="156">
        <v>0</v>
      </c>
      <c r="K20" s="4">
        <f t="shared" si="1"/>
        <v>0</v>
      </c>
      <c r="L20" s="156" t="s">
        <v>53</v>
      </c>
      <c r="M20" s="157" t="s">
        <v>57</v>
      </c>
    </row>
    <row r="21" spans="1:13" ht="52.5" x14ac:dyDescent="0.35">
      <c r="A21" s="155" t="s">
        <v>79</v>
      </c>
      <c r="B21" s="156" t="s">
        <v>80</v>
      </c>
      <c r="C21" s="156" t="s">
        <v>15</v>
      </c>
      <c r="D21" s="156">
        <v>15</v>
      </c>
      <c r="E21" s="156">
        <v>1.8</v>
      </c>
      <c r="F21" s="156">
        <v>1403.6</v>
      </c>
      <c r="G21" s="156">
        <v>875</v>
      </c>
      <c r="H21" s="156">
        <v>0.28000000000000003</v>
      </c>
      <c r="I21" s="4">
        <f t="shared" si="0"/>
        <v>441.00000000000006</v>
      </c>
      <c r="J21" s="156">
        <v>0</v>
      </c>
      <c r="K21" s="4">
        <f t="shared" si="1"/>
        <v>0</v>
      </c>
      <c r="L21" s="156" t="s">
        <v>53</v>
      </c>
      <c r="M21" s="157" t="s">
        <v>54</v>
      </c>
    </row>
    <row r="22" spans="1:13" ht="52.5" x14ac:dyDescent="0.35">
      <c r="A22" s="155" t="s">
        <v>89</v>
      </c>
      <c r="B22" s="156" t="s">
        <v>80</v>
      </c>
      <c r="C22" s="156" t="s">
        <v>20</v>
      </c>
      <c r="D22" s="156">
        <v>80</v>
      </c>
      <c r="E22" s="156">
        <v>8.6</v>
      </c>
      <c r="F22" s="156">
        <v>6086.4</v>
      </c>
      <c r="G22" s="156">
        <v>470</v>
      </c>
      <c r="H22" s="156">
        <v>0.2</v>
      </c>
      <c r="I22" s="4">
        <f t="shared" si="0"/>
        <v>808.40000000000009</v>
      </c>
      <c r="J22" s="156">
        <v>1.6</v>
      </c>
      <c r="K22" s="4">
        <f t="shared" si="1"/>
        <v>6467.2000000000007</v>
      </c>
      <c r="L22" s="156" t="s">
        <v>53</v>
      </c>
      <c r="M22" s="157" t="s">
        <v>54</v>
      </c>
    </row>
    <row r="23" spans="1:13" ht="175" x14ac:dyDescent="0.35">
      <c r="A23" s="155" t="s">
        <v>79</v>
      </c>
      <c r="B23" s="156" t="s">
        <v>85</v>
      </c>
      <c r="C23" s="156" t="s">
        <v>15</v>
      </c>
      <c r="D23" s="156">
        <v>15</v>
      </c>
      <c r="E23" s="156">
        <v>3.5</v>
      </c>
      <c r="F23" s="156">
        <v>3583.7</v>
      </c>
      <c r="G23" s="156">
        <v>875</v>
      </c>
      <c r="H23" s="156">
        <v>0.28000000000000003</v>
      </c>
      <c r="I23" s="4">
        <f t="shared" si="0"/>
        <v>857.50000000000011</v>
      </c>
      <c r="J23" s="156">
        <v>0</v>
      </c>
      <c r="K23" s="4">
        <f t="shared" si="1"/>
        <v>0</v>
      </c>
      <c r="L23" s="156" t="s">
        <v>53</v>
      </c>
      <c r="M23" s="157" t="s">
        <v>57</v>
      </c>
    </row>
    <row r="24" spans="1:13" ht="175" x14ac:dyDescent="0.35">
      <c r="A24" s="155" t="s">
        <v>79</v>
      </c>
      <c r="B24" s="156" t="s">
        <v>85</v>
      </c>
      <c r="C24" s="156" t="s">
        <v>15</v>
      </c>
      <c r="D24" s="156">
        <v>15</v>
      </c>
      <c r="E24" s="156">
        <v>3.5</v>
      </c>
      <c r="F24" s="156">
        <v>3191.2</v>
      </c>
      <c r="G24" s="156">
        <v>875</v>
      </c>
      <c r="H24" s="156">
        <v>0.28000000000000003</v>
      </c>
      <c r="I24" s="4">
        <f t="shared" si="0"/>
        <v>857.50000000000011</v>
      </c>
      <c r="J24" s="156">
        <v>0</v>
      </c>
      <c r="K24" s="4">
        <f t="shared" si="1"/>
        <v>0</v>
      </c>
      <c r="L24" s="156" t="s">
        <v>53</v>
      </c>
      <c r="M24" s="157" t="s">
        <v>54</v>
      </c>
    </row>
    <row r="25" spans="1:13" ht="175" x14ac:dyDescent="0.35">
      <c r="A25" s="155" t="s">
        <v>89</v>
      </c>
      <c r="B25" s="156" t="s">
        <v>85</v>
      </c>
      <c r="C25" s="156" t="s">
        <v>20</v>
      </c>
      <c r="D25" s="156">
        <v>80</v>
      </c>
      <c r="E25" s="156">
        <v>23.1</v>
      </c>
      <c r="F25" s="156">
        <v>15650.7</v>
      </c>
      <c r="G25" s="156">
        <v>470</v>
      </c>
      <c r="H25" s="156">
        <v>0.2</v>
      </c>
      <c r="I25" s="4">
        <f t="shared" si="0"/>
        <v>2171.4</v>
      </c>
      <c r="J25" s="156">
        <v>1.6</v>
      </c>
      <c r="K25" s="4">
        <f t="shared" si="1"/>
        <v>17371.2</v>
      </c>
      <c r="L25" s="156" t="s">
        <v>53</v>
      </c>
      <c r="M25" s="157" t="s">
        <v>57</v>
      </c>
    </row>
    <row r="26" spans="1:13" ht="157.5" x14ac:dyDescent="0.35">
      <c r="A26" s="155" t="s">
        <v>50</v>
      </c>
      <c r="B26" s="156" t="s">
        <v>93</v>
      </c>
      <c r="C26" s="156" t="s">
        <v>52</v>
      </c>
      <c r="D26" s="156">
        <v>66</v>
      </c>
      <c r="E26" s="156">
        <v>19.399999999999999</v>
      </c>
      <c r="F26" s="156">
        <v>10417.200000000001</v>
      </c>
      <c r="G26" s="156">
        <v>61</v>
      </c>
      <c r="H26" s="156">
        <v>1.5</v>
      </c>
      <c r="I26" s="4">
        <f t="shared" si="0"/>
        <v>1775.1</v>
      </c>
      <c r="J26" s="156">
        <v>0</v>
      </c>
      <c r="K26" s="4">
        <f t="shared" si="1"/>
        <v>0</v>
      </c>
      <c r="L26" s="156" t="s">
        <v>53</v>
      </c>
      <c r="M26" s="157" t="s">
        <v>54</v>
      </c>
    </row>
    <row r="27" spans="1:13" ht="157.5" x14ac:dyDescent="0.35">
      <c r="A27" s="155" t="s">
        <v>79</v>
      </c>
      <c r="B27" s="156" t="s">
        <v>93</v>
      </c>
      <c r="C27" s="156" t="s">
        <v>15</v>
      </c>
      <c r="D27" s="156">
        <v>15</v>
      </c>
      <c r="E27" s="156">
        <v>7</v>
      </c>
      <c r="F27" s="156">
        <v>8146.8</v>
      </c>
      <c r="G27" s="156">
        <v>875</v>
      </c>
      <c r="H27" s="156">
        <v>0.28000000000000003</v>
      </c>
      <c r="I27" s="4">
        <f t="shared" si="0"/>
        <v>1715.0000000000002</v>
      </c>
      <c r="J27" s="156">
        <v>0</v>
      </c>
      <c r="K27" s="4">
        <f t="shared" si="1"/>
        <v>0</v>
      </c>
      <c r="L27" s="156" t="s">
        <v>53</v>
      </c>
      <c r="M27" s="157" t="s">
        <v>57</v>
      </c>
    </row>
    <row r="28" spans="1:13" ht="122.5" x14ac:dyDescent="0.35">
      <c r="A28" s="155" t="s">
        <v>50</v>
      </c>
      <c r="B28" s="156" t="s">
        <v>63</v>
      </c>
      <c r="C28" s="156" t="s">
        <v>52</v>
      </c>
      <c r="D28" s="156">
        <v>68</v>
      </c>
      <c r="E28" s="156">
        <v>16.600000000000001</v>
      </c>
      <c r="F28" s="156">
        <v>8027.3</v>
      </c>
      <c r="G28" s="156">
        <v>61</v>
      </c>
      <c r="H28" s="156">
        <v>1.5</v>
      </c>
      <c r="I28" s="4">
        <f t="shared" si="0"/>
        <v>1518.9</v>
      </c>
      <c r="J28" s="156">
        <v>0</v>
      </c>
      <c r="K28" s="4">
        <f t="shared" si="1"/>
        <v>0</v>
      </c>
      <c r="L28" s="156" t="s">
        <v>53</v>
      </c>
      <c r="M28" s="157" t="s">
        <v>54</v>
      </c>
    </row>
    <row r="29" spans="1:13" ht="122.5" x14ac:dyDescent="0.35">
      <c r="A29" s="155" t="s">
        <v>59</v>
      </c>
      <c r="B29" s="156" t="s">
        <v>63</v>
      </c>
      <c r="C29" s="156" t="s">
        <v>61</v>
      </c>
      <c r="D29" s="156">
        <v>20</v>
      </c>
      <c r="E29" s="156">
        <v>5.0999999999999996</v>
      </c>
      <c r="F29" s="156">
        <v>5.4</v>
      </c>
      <c r="G29" s="156">
        <v>0</v>
      </c>
      <c r="H29" s="156">
        <v>0</v>
      </c>
      <c r="I29" s="4">
        <f t="shared" si="0"/>
        <v>0</v>
      </c>
      <c r="J29" s="156">
        <v>0</v>
      </c>
      <c r="K29" s="4">
        <f t="shared" si="1"/>
        <v>0</v>
      </c>
      <c r="L29" s="156" t="s">
        <v>53</v>
      </c>
      <c r="M29" s="157" t="s">
        <v>54</v>
      </c>
    </row>
    <row r="30" spans="1:13" ht="122.5" x14ac:dyDescent="0.35">
      <c r="A30" s="155" t="s">
        <v>79</v>
      </c>
      <c r="B30" s="156" t="s">
        <v>63</v>
      </c>
      <c r="C30" s="156" t="s">
        <v>15</v>
      </c>
      <c r="D30" s="156">
        <v>15</v>
      </c>
      <c r="E30" s="156">
        <v>8.3000000000000007</v>
      </c>
      <c r="F30" s="156">
        <v>8365.4</v>
      </c>
      <c r="G30" s="156">
        <v>875</v>
      </c>
      <c r="H30" s="156">
        <v>0.28000000000000003</v>
      </c>
      <c r="I30" s="4">
        <f t="shared" si="0"/>
        <v>2033.5000000000005</v>
      </c>
      <c r="J30" s="156">
        <v>0</v>
      </c>
      <c r="K30" s="4">
        <f t="shared" si="1"/>
        <v>0</v>
      </c>
      <c r="L30" s="156" t="s">
        <v>53</v>
      </c>
      <c r="M30" s="157" t="s">
        <v>57</v>
      </c>
    </row>
    <row r="31" spans="1:13" ht="122.5" x14ac:dyDescent="0.35">
      <c r="A31" s="155" t="s">
        <v>89</v>
      </c>
      <c r="B31" s="156" t="s">
        <v>63</v>
      </c>
      <c r="C31" s="156" t="s">
        <v>20</v>
      </c>
      <c r="D31" s="156">
        <v>80</v>
      </c>
      <c r="E31" s="156">
        <v>19</v>
      </c>
      <c r="F31" s="156">
        <v>13420.7</v>
      </c>
      <c r="G31" s="156">
        <v>470</v>
      </c>
      <c r="H31" s="156">
        <v>0.2</v>
      </c>
      <c r="I31" s="4">
        <f t="shared" si="0"/>
        <v>1786</v>
      </c>
      <c r="J31" s="156">
        <v>1.6</v>
      </c>
      <c r="K31" s="4">
        <f t="shared" si="1"/>
        <v>14288</v>
      </c>
      <c r="L31" s="156" t="s">
        <v>53</v>
      </c>
      <c r="M31" s="157" t="s">
        <v>54</v>
      </c>
    </row>
    <row r="32" spans="1:13" ht="87.5" x14ac:dyDescent="0.35">
      <c r="A32" s="155" t="s">
        <v>50</v>
      </c>
      <c r="B32" s="156" t="s">
        <v>102</v>
      </c>
      <c r="C32" s="156" t="s">
        <v>52</v>
      </c>
      <c r="D32" s="156">
        <v>50</v>
      </c>
      <c r="E32" s="156">
        <v>43</v>
      </c>
      <c r="F32" s="156">
        <v>21801.3</v>
      </c>
      <c r="G32" s="156">
        <v>61</v>
      </c>
      <c r="H32" s="156">
        <v>1.5</v>
      </c>
      <c r="I32" s="4">
        <f t="shared" si="0"/>
        <v>3934.5</v>
      </c>
      <c r="J32" s="156">
        <v>0</v>
      </c>
      <c r="K32" s="4">
        <f t="shared" si="1"/>
        <v>0</v>
      </c>
      <c r="L32" s="156" t="s">
        <v>53</v>
      </c>
      <c r="M32" s="157" t="s">
        <v>54</v>
      </c>
    </row>
    <row r="33" spans="1:13" ht="87.5" x14ac:dyDescent="0.35">
      <c r="A33" s="155" t="s">
        <v>79</v>
      </c>
      <c r="B33" s="156" t="s">
        <v>102</v>
      </c>
      <c r="C33" s="156" t="s">
        <v>15</v>
      </c>
      <c r="D33" s="156">
        <v>15</v>
      </c>
      <c r="E33" s="156">
        <v>26</v>
      </c>
      <c r="F33" s="156">
        <v>20574.599999999999</v>
      </c>
      <c r="G33" s="156">
        <v>875</v>
      </c>
      <c r="H33" s="156">
        <v>0.28000000000000003</v>
      </c>
      <c r="I33" s="4">
        <f t="shared" si="0"/>
        <v>6370.0000000000009</v>
      </c>
      <c r="J33" s="156">
        <v>0</v>
      </c>
      <c r="K33" s="4">
        <f t="shared" si="1"/>
        <v>0</v>
      </c>
      <c r="L33" s="156" t="s">
        <v>53</v>
      </c>
      <c r="M33" s="157" t="s">
        <v>57</v>
      </c>
    </row>
    <row r="34" spans="1:13" ht="87.5" x14ac:dyDescent="0.35">
      <c r="A34" s="155" t="s">
        <v>89</v>
      </c>
      <c r="B34" s="156" t="s">
        <v>102</v>
      </c>
      <c r="C34" s="156" t="s">
        <v>20</v>
      </c>
      <c r="D34" s="156">
        <v>80</v>
      </c>
      <c r="E34" s="156">
        <v>137.6</v>
      </c>
      <c r="F34" s="156">
        <v>97436.3</v>
      </c>
      <c r="G34" s="156">
        <v>470</v>
      </c>
      <c r="H34" s="156">
        <v>0.2</v>
      </c>
      <c r="I34" s="4">
        <f t="shared" si="0"/>
        <v>12934.400000000001</v>
      </c>
      <c r="J34" s="156">
        <v>1.6</v>
      </c>
      <c r="K34" s="4">
        <f t="shared" si="1"/>
        <v>103475.20000000001</v>
      </c>
      <c r="L34" s="156" t="s">
        <v>53</v>
      </c>
      <c r="M34" s="157" t="s">
        <v>54</v>
      </c>
    </row>
    <row r="35" spans="1:13" ht="70" x14ac:dyDescent="0.35">
      <c r="A35" s="155" t="s">
        <v>95</v>
      </c>
      <c r="B35" s="156" t="s">
        <v>96</v>
      </c>
      <c r="C35" s="156" t="s">
        <v>30</v>
      </c>
      <c r="D35" s="156">
        <v>300</v>
      </c>
      <c r="E35" s="156">
        <v>3.8</v>
      </c>
      <c r="F35" s="156">
        <v>9014</v>
      </c>
      <c r="G35" s="156">
        <v>2375</v>
      </c>
      <c r="H35" s="156">
        <v>0.15</v>
      </c>
      <c r="I35" s="4">
        <f t="shared" si="0"/>
        <v>1353.75</v>
      </c>
      <c r="J35" s="156">
        <v>0</v>
      </c>
      <c r="K35" s="4">
        <f t="shared" si="1"/>
        <v>0</v>
      </c>
      <c r="L35" s="156" t="s">
        <v>53</v>
      </c>
      <c r="M35" s="157" t="s">
        <v>54</v>
      </c>
    </row>
    <row r="36" spans="1:13" ht="70" x14ac:dyDescent="0.35">
      <c r="A36" s="155" t="s">
        <v>95</v>
      </c>
      <c r="B36" s="156" t="s">
        <v>104</v>
      </c>
      <c r="C36" s="156" t="s">
        <v>30</v>
      </c>
      <c r="D36" s="156">
        <v>200</v>
      </c>
      <c r="E36" s="156">
        <v>16.3</v>
      </c>
      <c r="F36" s="156">
        <v>38202.800000000003</v>
      </c>
      <c r="G36" s="156">
        <v>2375</v>
      </c>
      <c r="H36" s="156">
        <v>0.15</v>
      </c>
      <c r="I36" s="4">
        <f t="shared" si="0"/>
        <v>5806.875</v>
      </c>
      <c r="J36" s="156">
        <v>0</v>
      </c>
      <c r="K36" s="4">
        <f t="shared" si="1"/>
        <v>0</v>
      </c>
      <c r="L36" s="156" t="s">
        <v>53</v>
      </c>
      <c r="M36" s="157" t="s">
        <v>54</v>
      </c>
    </row>
    <row r="37" spans="1:13" ht="70" x14ac:dyDescent="0.35">
      <c r="A37" s="155" t="s">
        <v>59</v>
      </c>
      <c r="B37" s="156" t="s">
        <v>69</v>
      </c>
      <c r="C37" s="156" t="s">
        <v>61</v>
      </c>
      <c r="D37" s="156">
        <v>300</v>
      </c>
      <c r="E37" s="156">
        <v>59.6</v>
      </c>
      <c r="F37" s="156">
        <v>71.599999999999994</v>
      </c>
      <c r="G37" s="156">
        <v>0</v>
      </c>
      <c r="H37" s="156">
        <v>0</v>
      </c>
      <c r="I37" s="4">
        <f t="shared" si="0"/>
        <v>0</v>
      </c>
      <c r="J37" s="156">
        <v>0</v>
      </c>
      <c r="K37" s="4">
        <f t="shared" si="1"/>
        <v>0</v>
      </c>
      <c r="L37" s="156" t="s">
        <v>53</v>
      </c>
      <c r="M37" s="157" t="s">
        <v>54</v>
      </c>
    </row>
    <row r="38" spans="1:13" ht="70" x14ac:dyDescent="0.35">
      <c r="A38" s="155" t="s">
        <v>79</v>
      </c>
      <c r="B38" s="156" t="s">
        <v>69</v>
      </c>
      <c r="C38" s="156" t="s">
        <v>15</v>
      </c>
      <c r="D38" s="156">
        <v>15</v>
      </c>
      <c r="E38" s="156">
        <v>10</v>
      </c>
      <c r="F38" s="156">
        <v>8820.7999999999993</v>
      </c>
      <c r="G38" s="156">
        <v>875</v>
      </c>
      <c r="H38" s="156">
        <v>0.28000000000000003</v>
      </c>
      <c r="I38" s="4">
        <f t="shared" si="0"/>
        <v>2450.0000000000005</v>
      </c>
      <c r="J38" s="156">
        <v>0</v>
      </c>
      <c r="K38" s="4">
        <f t="shared" si="1"/>
        <v>0</v>
      </c>
      <c r="L38" s="156" t="s">
        <v>53</v>
      </c>
      <c r="M38" s="157" t="s">
        <v>54</v>
      </c>
    </row>
    <row r="39" spans="1:13" ht="70" x14ac:dyDescent="0.35">
      <c r="A39" s="155" t="s">
        <v>89</v>
      </c>
      <c r="B39" s="156" t="s">
        <v>69</v>
      </c>
      <c r="C39" s="156" t="s">
        <v>20</v>
      </c>
      <c r="D39" s="156">
        <v>120</v>
      </c>
      <c r="E39" s="156">
        <v>28.5</v>
      </c>
      <c r="F39" s="156">
        <v>19964.8</v>
      </c>
      <c r="G39" s="156">
        <v>470</v>
      </c>
      <c r="H39" s="156">
        <v>0.2</v>
      </c>
      <c r="I39" s="4">
        <f t="shared" si="0"/>
        <v>2679</v>
      </c>
      <c r="J39" s="156">
        <v>1.6</v>
      </c>
      <c r="K39" s="4">
        <f t="shared" si="1"/>
        <v>21432</v>
      </c>
      <c r="L39" s="156" t="s">
        <v>53</v>
      </c>
      <c r="M39" s="157" t="s">
        <v>57</v>
      </c>
    </row>
    <row r="40" spans="1:13" ht="122.5" x14ac:dyDescent="0.35">
      <c r="A40" s="155" t="s">
        <v>101</v>
      </c>
      <c r="B40" s="156" t="s">
        <v>65</v>
      </c>
      <c r="C40" s="156" t="s">
        <v>4</v>
      </c>
      <c r="D40" s="156">
        <v>40</v>
      </c>
      <c r="E40" s="156">
        <v>11</v>
      </c>
      <c r="F40" s="156">
        <v>19186.7</v>
      </c>
      <c r="G40" s="156">
        <v>2353</v>
      </c>
      <c r="H40" s="156">
        <v>0.12</v>
      </c>
      <c r="I40" s="4">
        <f t="shared" si="0"/>
        <v>3105.96</v>
      </c>
      <c r="J40" s="156">
        <v>0</v>
      </c>
      <c r="K40" s="4">
        <f t="shared" si="1"/>
        <v>0</v>
      </c>
      <c r="L40" s="156" t="s">
        <v>53</v>
      </c>
      <c r="M40" s="157" t="s">
        <v>57</v>
      </c>
    </row>
    <row r="41" spans="1:13" ht="122.5" x14ac:dyDescent="0.35">
      <c r="A41" s="155" t="s">
        <v>50</v>
      </c>
      <c r="B41" s="156" t="s">
        <v>65</v>
      </c>
      <c r="C41" s="156" t="s">
        <v>52</v>
      </c>
      <c r="D41" s="156">
        <v>30</v>
      </c>
      <c r="E41" s="156">
        <v>5.5</v>
      </c>
      <c r="F41" s="156">
        <v>3996.8</v>
      </c>
      <c r="G41" s="156">
        <v>61</v>
      </c>
      <c r="H41" s="156">
        <v>1.5</v>
      </c>
      <c r="I41" s="4">
        <f t="shared" si="0"/>
        <v>503.25</v>
      </c>
      <c r="J41" s="156">
        <v>0</v>
      </c>
      <c r="K41" s="4">
        <f t="shared" si="1"/>
        <v>0</v>
      </c>
      <c r="L41" s="156" t="s">
        <v>53</v>
      </c>
      <c r="M41" s="157" t="s">
        <v>57</v>
      </c>
    </row>
    <row r="42" spans="1:13" ht="122.5" x14ac:dyDescent="0.35">
      <c r="A42" s="155" t="s">
        <v>75</v>
      </c>
      <c r="B42" s="156" t="s">
        <v>65</v>
      </c>
      <c r="C42" s="156" t="s">
        <v>76</v>
      </c>
      <c r="D42" s="156">
        <v>100</v>
      </c>
      <c r="E42" s="156">
        <v>22</v>
      </c>
      <c r="F42" s="156">
        <v>883.1</v>
      </c>
      <c r="G42" s="156">
        <v>33</v>
      </c>
      <c r="H42" s="156">
        <v>1.5</v>
      </c>
      <c r="I42" s="4">
        <f t="shared" si="0"/>
        <v>1089</v>
      </c>
      <c r="J42" s="156">
        <v>0</v>
      </c>
      <c r="K42" s="4">
        <f t="shared" si="1"/>
        <v>0</v>
      </c>
      <c r="L42" s="156" t="s">
        <v>53</v>
      </c>
      <c r="M42" s="157" t="s">
        <v>57</v>
      </c>
    </row>
    <row r="43" spans="1:13" ht="122.5" x14ac:dyDescent="0.35">
      <c r="A43" s="155" t="s">
        <v>64</v>
      </c>
      <c r="B43" s="156" t="s">
        <v>65</v>
      </c>
      <c r="C43" s="156" t="s">
        <v>66</v>
      </c>
      <c r="D43" s="156">
        <v>25</v>
      </c>
      <c r="E43" s="156">
        <v>5.5</v>
      </c>
      <c r="F43" s="156">
        <v>5.5</v>
      </c>
      <c r="G43" s="156">
        <v>0</v>
      </c>
      <c r="H43" s="156">
        <v>0</v>
      </c>
      <c r="I43" s="4">
        <f t="shared" si="0"/>
        <v>0</v>
      </c>
      <c r="J43" s="156">
        <v>0</v>
      </c>
      <c r="K43" s="4">
        <f t="shared" si="1"/>
        <v>0</v>
      </c>
      <c r="L43" s="156" t="s">
        <v>53</v>
      </c>
      <c r="M43" s="157" t="s">
        <v>57</v>
      </c>
    </row>
    <row r="44" spans="1:13" ht="122.5" x14ac:dyDescent="0.35">
      <c r="A44" s="155" t="s">
        <v>64</v>
      </c>
      <c r="B44" s="156" t="s">
        <v>65</v>
      </c>
      <c r="C44" s="156" t="s">
        <v>66</v>
      </c>
      <c r="D44" s="156">
        <v>30</v>
      </c>
      <c r="E44" s="156">
        <v>5.5</v>
      </c>
      <c r="F44" s="156">
        <v>11</v>
      </c>
      <c r="G44" s="156">
        <v>0</v>
      </c>
      <c r="H44" s="156">
        <v>0</v>
      </c>
      <c r="I44" s="4">
        <f t="shared" si="0"/>
        <v>0</v>
      </c>
      <c r="J44" s="156">
        <v>0</v>
      </c>
      <c r="K44" s="4">
        <f t="shared" si="1"/>
        <v>0</v>
      </c>
      <c r="L44" s="156" t="s">
        <v>53</v>
      </c>
      <c r="M44" s="157" t="s">
        <v>57</v>
      </c>
    </row>
    <row r="45" spans="1:13" ht="122.5" x14ac:dyDescent="0.35">
      <c r="A45" s="155" t="s">
        <v>64</v>
      </c>
      <c r="B45" s="156" t="s">
        <v>65</v>
      </c>
      <c r="C45" s="156" t="s">
        <v>66</v>
      </c>
      <c r="D45" s="156">
        <v>160</v>
      </c>
      <c r="E45" s="156">
        <v>33.4</v>
      </c>
      <c r="F45" s="156">
        <v>44</v>
      </c>
      <c r="G45" s="156">
        <v>0</v>
      </c>
      <c r="H45" s="156">
        <v>0</v>
      </c>
      <c r="I45" s="4">
        <f t="shared" si="0"/>
        <v>0</v>
      </c>
      <c r="J45" s="156">
        <v>0</v>
      </c>
      <c r="K45" s="4">
        <f t="shared" si="1"/>
        <v>0</v>
      </c>
      <c r="L45" s="156" t="s">
        <v>53</v>
      </c>
      <c r="M45" s="157" t="s">
        <v>57</v>
      </c>
    </row>
    <row r="46" spans="1:13" ht="122.5" x14ac:dyDescent="0.35">
      <c r="A46" s="155" t="s">
        <v>79</v>
      </c>
      <c r="B46" s="156" t="s">
        <v>65</v>
      </c>
      <c r="C46" s="156" t="s">
        <v>15</v>
      </c>
      <c r="D46" s="156">
        <v>13</v>
      </c>
      <c r="E46" s="156">
        <v>5.5</v>
      </c>
      <c r="F46" s="156">
        <v>2798</v>
      </c>
      <c r="G46" s="156">
        <v>875</v>
      </c>
      <c r="H46" s="156">
        <v>0.28000000000000003</v>
      </c>
      <c r="I46" s="4">
        <f t="shared" si="0"/>
        <v>1347.5000000000002</v>
      </c>
      <c r="J46" s="156">
        <v>0</v>
      </c>
      <c r="K46" s="4">
        <f t="shared" si="1"/>
        <v>0</v>
      </c>
      <c r="L46" s="156" t="s">
        <v>53</v>
      </c>
      <c r="M46" s="157" t="s">
        <v>57</v>
      </c>
    </row>
    <row r="47" spans="1:13" ht="122.5" x14ac:dyDescent="0.35">
      <c r="A47" s="155" t="s">
        <v>86</v>
      </c>
      <c r="B47" s="156" t="s">
        <v>65</v>
      </c>
      <c r="C47" s="156" t="s">
        <v>87</v>
      </c>
      <c r="D47" s="156">
        <v>18</v>
      </c>
      <c r="E47" s="156">
        <v>5.5</v>
      </c>
      <c r="F47" s="156">
        <v>3838</v>
      </c>
      <c r="G47" s="156">
        <v>0</v>
      </c>
      <c r="H47" s="156">
        <v>0</v>
      </c>
      <c r="I47" s="4">
        <f t="shared" si="0"/>
        <v>0</v>
      </c>
      <c r="J47" s="156">
        <v>0</v>
      </c>
      <c r="K47" s="4">
        <f t="shared" si="1"/>
        <v>0</v>
      </c>
      <c r="L47" s="156" t="s">
        <v>53</v>
      </c>
      <c r="M47" s="157" t="s">
        <v>57</v>
      </c>
    </row>
    <row r="48" spans="1:13" ht="122.5" x14ac:dyDescent="0.35">
      <c r="A48" s="155" t="s">
        <v>89</v>
      </c>
      <c r="B48" s="156" t="s">
        <v>65</v>
      </c>
      <c r="C48" s="156" t="s">
        <v>20</v>
      </c>
      <c r="D48" s="156">
        <v>80</v>
      </c>
      <c r="E48" s="156">
        <v>22</v>
      </c>
      <c r="F48" s="156">
        <v>14923.1</v>
      </c>
      <c r="G48" s="156">
        <v>470</v>
      </c>
      <c r="H48" s="156">
        <v>0.2</v>
      </c>
      <c r="I48" s="4">
        <f t="shared" si="0"/>
        <v>2068</v>
      </c>
      <c r="J48" s="156">
        <v>1.6</v>
      </c>
      <c r="K48" s="4">
        <f t="shared" si="1"/>
        <v>16544</v>
      </c>
      <c r="L48" s="156" t="s">
        <v>53</v>
      </c>
      <c r="M48" s="157" t="s">
        <v>57</v>
      </c>
    </row>
    <row r="49" spans="1:13" ht="70" x14ac:dyDescent="0.35">
      <c r="A49" s="155" t="s">
        <v>101</v>
      </c>
      <c r="B49" s="156" t="s">
        <v>68</v>
      </c>
      <c r="C49" s="156" t="s">
        <v>4</v>
      </c>
      <c r="D49" s="156">
        <v>40</v>
      </c>
      <c r="E49" s="156">
        <v>57.8</v>
      </c>
      <c r="F49" s="156">
        <v>102691.1</v>
      </c>
      <c r="G49" s="156">
        <v>2353</v>
      </c>
      <c r="H49" s="156">
        <v>0.12</v>
      </c>
      <c r="I49" s="4">
        <f t="shared" si="0"/>
        <v>16320.407999999999</v>
      </c>
      <c r="J49" s="156">
        <v>0</v>
      </c>
      <c r="K49" s="4">
        <f t="shared" si="1"/>
        <v>0</v>
      </c>
      <c r="L49" s="156" t="s">
        <v>53</v>
      </c>
      <c r="M49" s="157" t="s">
        <v>57</v>
      </c>
    </row>
    <row r="50" spans="1:13" ht="70" x14ac:dyDescent="0.35">
      <c r="A50" s="155" t="s">
        <v>50</v>
      </c>
      <c r="B50" s="156" t="s">
        <v>68</v>
      </c>
      <c r="C50" s="156" t="s">
        <v>52</v>
      </c>
      <c r="D50" s="156">
        <v>30</v>
      </c>
      <c r="E50" s="156">
        <v>42</v>
      </c>
      <c r="F50" s="156">
        <v>21393.7</v>
      </c>
      <c r="G50" s="156">
        <v>61</v>
      </c>
      <c r="H50" s="156">
        <v>1.5</v>
      </c>
      <c r="I50" s="4">
        <f t="shared" si="0"/>
        <v>3843</v>
      </c>
      <c r="J50" s="156">
        <v>0</v>
      </c>
      <c r="K50" s="4">
        <f t="shared" si="1"/>
        <v>0</v>
      </c>
      <c r="L50" s="156" t="s">
        <v>53</v>
      </c>
      <c r="M50" s="157" t="s">
        <v>57</v>
      </c>
    </row>
    <row r="51" spans="1:13" ht="87.5" x14ac:dyDescent="0.35">
      <c r="A51" s="155" t="s">
        <v>75</v>
      </c>
      <c r="B51" s="156" t="s">
        <v>68</v>
      </c>
      <c r="C51" s="156" t="s">
        <v>76</v>
      </c>
      <c r="D51" s="156">
        <v>100</v>
      </c>
      <c r="E51" s="156">
        <v>118.3</v>
      </c>
      <c r="F51" s="156">
        <v>4717.8</v>
      </c>
      <c r="G51" s="156">
        <v>33</v>
      </c>
      <c r="H51" s="156">
        <v>1.5</v>
      </c>
      <c r="I51" s="4">
        <f t="shared" si="0"/>
        <v>5855.85</v>
      </c>
      <c r="J51" s="156">
        <v>0</v>
      </c>
      <c r="K51" s="4">
        <f t="shared" si="1"/>
        <v>0</v>
      </c>
      <c r="L51" s="156" t="s">
        <v>53</v>
      </c>
      <c r="M51" s="157" t="s">
        <v>54</v>
      </c>
    </row>
    <row r="52" spans="1:13" ht="70" x14ac:dyDescent="0.35">
      <c r="A52" s="155" t="s">
        <v>64</v>
      </c>
      <c r="B52" s="156" t="s">
        <v>68</v>
      </c>
      <c r="C52" s="156" t="s">
        <v>66</v>
      </c>
      <c r="D52" s="156">
        <v>25</v>
      </c>
      <c r="E52" s="156">
        <v>35.5</v>
      </c>
      <c r="F52" s="156">
        <v>42</v>
      </c>
      <c r="G52" s="156">
        <v>0</v>
      </c>
      <c r="H52" s="156">
        <v>0</v>
      </c>
      <c r="I52" s="4">
        <f t="shared" si="0"/>
        <v>0</v>
      </c>
      <c r="J52" s="156">
        <v>0</v>
      </c>
      <c r="K52" s="4">
        <f t="shared" si="1"/>
        <v>0</v>
      </c>
      <c r="L52" s="156" t="s">
        <v>53</v>
      </c>
      <c r="M52" s="157" t="s">
        <v>54</v>
      </c>
    </row>
    <row r="53" spans="1:13" ht="70" x14ac:dyDescent="0.35">
      <c r="A53" s="155" t="s">
        <v>59</v>
      </c>
      <c r="B53" s="156" t="s">
        <v>68</v>
      </c>
      <c r="C53" s="156" t="s">
        <v>61</v>
      </c>
      <c r="D53" s="156">
        <v>30</v>
      </c>
      <c r="E53" s="156">
        <v>42</v>
      </c>
      <c r="F53" s="156">
        <v>52.2</v>
      </c>
      <c r="G53" s="156">
        <v>0</v>
      </c>
      <c r="H53" s="156">
        <v>0</v>
      </c>
      <c r="I53" s="4">
        <f t="shared" si="0"/>
        <v>0</v>
      </c>
      <c r="J53" s="156">
        <v>0</v>
      </c>
      <c r="K53" s="4">
        <f t="shared" si="1"/>
        <v>0</v>
      </c>
      <c r="L53" s="156" t="s">
        <v>53</v>
      </c>
      <c r="M53" s="157" t="s">
        <v>54</v>
      </c>
    </row>
    <row r="54" spans="1:13" ht="70" x14ac:dyDescent="0.35">
      <c r="A54" s="155" t="s">
        <v>59</v>
      </c>
      <c r="B54" s="156" t="s">
        <v>68</v>
      </c>
      <c r="C54" s="156" t="s">
        <v>61</v>
      </c>
      <c r="D54" s="156">
        <v>160</v>
      </c>
      <c r="E54" s="156">
        <v>188.2</v>
      </c>
      <c r="F54" s="156">
        <v>226.9</v>
      </c>
      <c r="G54" s="156">
        <v>0</v>
      </c>
      <c r="H54" s="156">
        <v>0</v>
      </c>
      <c r="I54" s="4">
        <f t="shared" si="0"/>
        <v>0</v>
      </c>
      <c r="J54" s="156">
        <v>0</v>
      </c>
      <c r="K54" s="4">
        <f t="shared" si="1"/>
        <v>0</v>
      </c>
      <c r="L54" s="156" t="s">
        <v>53</v>
      </c>
      <c r="M54" s="157" t="s">
        <v>54</v>
      </c>
    </row>
    <row r="55" spans="1:13" ht="70" x14ac:dyDescent="0.35">
      <c r="A55" s="155" t="s">
        <v>86</v>
      </c>
      <c r="B55" s="156" t="s">
        <v>68</v>
      </c>
      <c r="C55" s="156" t="s">
        <v>87</v>
      </c>
      <c r="D55" s="156">
        <v>18</v>
      </c>
      <c r="E55" s="156">
        <v>25</v>
      </c>
      <c r="F55" s="156">
        <v>20537.900000000001</v>
      </c>
      <c r="G55" s="156">
        <v>0</v>
      </c>
      <c r="H55" s="156">
        <v>0</v>
      </c>
      <c r="I55" s="4">
        <f t="shared" si="0"/>
        <v>0</v>
      </c>
      <c r="J55" s="156">
        <v>0</v>
      </c>
      <c r="K55" s="4">
        <f t="shared" si="1"/>
        <v>0</v>
      </c>
      <c r="L55" s="156" t="s">
        <v>53</v>
      </c>
      <c r="M55" s="157" t="s">
        <v>57</v>
      </c>
    </row>
    <row r="56" spans="1:13" ht="70" x14ac:dyDescent="0.35">
      <c r="A56" s="155" t="s">
        <v>89</v>
      </c>
      <c r="B56" s="156" t="s">
        <v>68</v>
      </c>
      <c r="C56" s="156" t="s">
        <v>20</v>
      </c>
      <c r="D56" s="156">
        <v>80</v>
      </c>
      <c r="E56" s="156">
        <v>114.5</v>
      </c>
      <c r="F56" s="156">
        <v>79932.399999999994</v>
      </c>
      <c r="G56" s="156">
        <v>470</v>
      </c>
      <c r="H56" s="156">
        <v>0.2</v>
      </c>
      <c r="I56" s="4">
        <f t="shared" si="0"/>
        <v>10763</v>
      </c>
      <c r="J56" s="156">
        <v>1.6</v>
      </c>
      <c r="K56" s="4">
        <f t="shared" si="1"/>
        <v>86104</v>
      </c>
      <c r="L56" s="156" t="s">
        <v>53</v>
      </c>
      <c r="M56" s="157" t="s">
        <v>54</v>
      </c>
    </row>
    <row r="57" spans="1:13" ht="52.5" x14ac:dyDescent="0.35">
      <c r="A57" s="155" t="s">
        <v>90</v>
      </c>
      <c r="B57" s="156" t="s">
        <v>91</v>
      </c>
      <c r="C57" s="156" t="s">
        <v>22</v>
      </c>
      <c r="D57" s="156">
        <v>25</v>
      </c>
      <c r="E57" s="156">
        <v>14.8</v>
      </c>
      <c r="F57" s="156">
        <v>7424.4</v>
      </c>
      <c r="G57" s="156">
        <v>474</v>
      </c>
      <c r="H57" s="156">
        <v>0.09</v>
      </c>
      <c r="I57" s="4">
        <f t="shared" si="0"/>
        <v>631.36800000000005</v>
      </c>
      <c r="J57" s="156">
        <v>1.6</v>
      </c>
      <c r="K57" s="4">
        <f t="shared" si="1"/>
        <v>11224.320000000002</v>
      </c>
      <c r="L57" s="156" t="s">
        <v>53</v>
      </c>
      <c r="M57" s="157" t="s">
        <v>54</v>
      </c>
    </row>
    <row r="58" spans="1:13" ht="52.5" x14ac:dyDescent="0.35">
      <c r="A58" s="155" t="s">
        <v>94</v>
      </c>
      <c r="B58" s="156" t="s">
        <v>91</v>
      </c>
      <c r="C58" s="156" t="s">
        <v>28</v>
      </c>
      <c r="D58" s="156">
        <v>2</v>
      </c>
      <c r="E58" s="156">
        <v>1.2</v>
      </c>
      <c r="F58" s="156">
        <v>8553</v>
      </c>
      <c r="G58" s="156">
        <v>7850</v>
      </c>
      <c r="H58" s="156">
        <v>3.1</v>
      </c>
      <c r="I58" s="4">
        <f t="shared" si="0"/>
        <v>29202</v>
      </c>
      <c r="J58" s="156">
        <v>0</v>
      </c>
      <c r="K58" s="4">
        <f t="shared" si="1"/>
        <v>0</v>
      </c>
      <c r="L58" s="156" t="s">
        <v>53</v>
      </c>
      <c r="M58" s="157" t="s">
        <v>54</v>
      </c>
    </row>
    <row r="59" spans="1:13" ht="122.5" x14ac:dyDescent="0.35">
      <c r="A59" s="155" t="s">
        <v>55</v>
      </c>
      <c r="B59" s="156" t="s">
        <v>88</v>
      </c>
      <c r="C59" s="156" t="s">
        <v>56</v>
      </c>
      <c r="D59" s="156">
        <v>100</v>
      </c>
      <c r="E59" s="156">
        <v>6</v>
      </c>
      <c r="F59" s="156">
        <v>14181.2</v>
      </c>
      <c r="G59" s="156">
        <v>2363</v>
      </c>
      <c r="H59" s="156">
        <v>0.14000000000000001</v>
      </c>
      <c r="I59" s="4">
        <f t="shared" si="0"/>
        <v>1984.9200000000003</v>
      </c>
      <c r="J59" s="156">
        <v>0</v>
      </c>
      <c r="K59" s="4">
        <f t="shared" si="1"/>
        <v>0</v>
      </c>
      <c r="L59" s="156" t="s">
        <v>53</v>
      </c>
      <c r="M59" s="157" t="s">
        <v>57</v>
      </c>
    </row>
    <row r="60" spans="1:13" ht="122.5" x14ac:dyDescent="0.35">
      <c r="A60" s="155" t="s">
        <v>50</v>
      </c>
      <c r="B60" s="156" t="s">
        <v>88</v>
      </c>
      <c r="C60" s="156" t="s">
        <v>52</v>
      </c>
      <c r="D60" s="156">
        <v>140</v>
      </c>
      <c r="E60" s="156">
        <v>8.3000000000000007</v>
      </c>
      <c r="F60" s="156">
        <v>4163.8</v>
      </c>
      <c r="G60" s="156">
        <v>61</v>
      </c>
      <c r="H60" s="156">
        <v>1.5</v>
      </c>
      <c r="I60" s="4">
        <f t="shared" si="0"/>
        <v>759.45</v>
      </c>
      <c r="J60" s="156">
        <v>0</v>
      </c>
      <c r="K60" s="4">
        <f t="shared" si="1"/>
        <v>0</v>
      </c>
      <c r="L60" s="156" t="s">
        <v>53</v>
      </c>
      <c r="M60" s="157" t="s">
        <v>54</v>
      </c>
    </row>
    <row r="61" spans="1:13" ht="122.5" x14ac:dyDescent="0.35">
      <c r="A61" s="155" t="s">
        <v>58</v>
      </c>
      <c r="B61" s="156" t="s">
        <v>88</v>
      </c>
      <c r="C61" s="156" t="s">
        <v>32</v>
      </c>
      <c r="D61" s="156">
        <v>300</v>
      </c>
      <c r="E61" s="156">
        <v>16.100000000000001</v>
      </c>
      <c r="F61" s="156">
        <v>38836.300000000003</v>
      </c>
      <c r="G61" s="156">
        <v>2400</v>
      </c>
      <c r="H61" s="156">
        <v>0.19</v>
      </c>
      <c r="I61" s="4">
        <f t="shared" si="0"/>
        <v>7341.6</v>
      </c>
      <c r="J61" s="156">
        <v>0</v>
      </c>
      <c r="K61" s="4">
        <f t="shared" si="1"/>
        <v>0</v>
      </c>
      <c r="L61" s="156" t="s">
        <v>53</v>
      </c>
      <c r="M61" s="157" t="s">
        <v>54</v>
      </c>
    </row>
    <row r="62" spans="1:13" ht="105" x14ac:dyDescent="0.35">
      <c r="A62" s="155" t="s">
        <v>55</v>
      </c>
      <c r="B62" s="156" t="s">
        <v>51</v>
      </c>
      <c r="C62" s="156" t="s">
        <v>56</v>
      </c>
      <c r="D62" s="156">
        <v>70</v>
      </c>
      <c r="E62" s="156">
        <v>0</v>
      </c>
      <c r="F62" s="156">
        <v>0</v>
      </c>
      <c r="G62" s="156">
        <v>2363</v>
      </c>
      <c r="H62" s="156">
        <v>0.14000000000000001</v>
      </c>
      <c r="I62" s="4">
        <f t="shared" si="0"/>
        <v>0</v>
      </c>
      <c r="J62" s="156">
        <v>0</v>
      </c>
      <c r="K62" s="4">
        <f t="shared" si="1"/>
        <v>0</v>
      </c>
      <c r="L62" s="156" t="s">
        <v>53</v>
      </c>
      <c r="M62" s="157" t="s">
        <v>57</v>
      </c>
    </row>
    <row r="63" spans="1:13" ht="105" x14ac:dyDescent="0.35">
      <c r="A63" s="155" t="s">
        <v>50</v>
      </c>
      <c r="B63" s="156" t="s">
        <v>51</v>
      </c>
      <c r="C63" s="156" t="s">
        <v>52</v>
      </c>
      <c r="D63" s="156">
        <v>250</v>
      </c>
      <c r="E63" s="156">
        <v>0</v>
      </c>
      <c r="F63" s="156">
        <v>0</v>
      </c>
      <c r="G63" s="156">
        <v>61</v>
      </c>
      <c r="H63" s="156">
        <v>1.5</v>
      </c>
      <c r="I63" s="4">
        <f t="shared" si="0"/>
        <v>0</v>
      </c>
      <c r="J63" s="156">
        <v>0</v>
      </c>
      <c r="K63" s="4">
        <f t="shared" si="1"/>
        <v>0</v>
      </c>
      <c r="L63" s="156" t="s">
        <v>53</v>
      </c>
      <c r="M63" s="157" t="s">
        <v>54</v>
      </c>
    </row>
    <row r="64" spans="1:13" ht="105" x14ac:dyDescent="0.35">
      <c r="A64" s="155" t="s">
        <v>58</v>
      </c>
      <c r="B64" s="156" t="s">
        <v>51</v>
      </c>
      <c r="C64" s="156" t="s">
        <v>32</v>
      </c>
      <c r="D64" s="156">
        <v>150</v>
      </c>
      <c r="E64" s="156">
        <v>0</v>
      </c>
      <c r="F64" s="156">
        <v>0</v>
      </c>
      <c r="G64" s="156">
        <v>2400</v>
      </c>
      <c r="H64" s="156">
        <v>0.19</v>
      </c>
      <c r="I64" s="4">
        <f t="shared" si="0"/>
        <v>0</v>
      </c>
      <c r="J64" s="156">
        <v>0</v>
      </c>
      <c r="K64" s="4">
        <f t="shared" si="1"/>
        <v>0</v>
      </c>
      <c r="L64" s="156" t="s">
        <v>53</v>
      </c>
      <c r="M64" s="157" t="s">
        <v>54</v>
      </c>
    </row>
    <row r="65" spans="1:13" ht="52.5" x14ac:dyDescent="0.35">
      <c r="A65" s="155" t="s">
        <v>70</v>
      </c>
      <c r="B65" s="156" t="s">
        <v>60</v>
      </c>
      <c r="C65" s="156" t="s">
        <v>71</v>
      </c>
      <c r="D65" s="156">
        <v>25</v>
      </c>
      <c r="E65" s="156">
        <v>1.4</v>
      </c>
      <c r="F65" s="156">
        <v>296</v>
      </c>
      <c r="G65" s="156">
        <v>60</v>
      </c>
      <c r="H65" s="156">
        <v>1.02</v>
      </c>
      <c r="I65" s="4">
        <f t="shared" si="0"/>
        <v>85.68</v>
      </c>
      <c r="J65" s="156">
        <v>1.1000000000000001</v>
      </c>
      <c r="K65" s="4">
        <f t="shared" si="1"/>
        <v>92.4</v>
      </c>
      <c r="L65" s="156" t="s">
        <v>53</v>
      </c>
      <c r="M65" s="157" t="s">
        <v>54</v>
      </c>
    </row>
    <row r="66" spans="1:13" ht="52.5" x14ac:dyDescent="0.35">
      <c r="A66" s="155" t="s">
        <v>59</v>
      </c>
      <c r="B66" s="156" t="s">
        <v>60</v>
      </c>
      <c r="C66" s="156" t="s">
        <v>61</v>
      </c>
      <c r="D66" s="156">
        <v>32</v>
      </c>
      <c r="E66" s="156">
        <v>1.8</v>
      </c>
      <c r="F66" s="156">
        <v>2.2000000000000002</v>
      </c>
      <c r="G66" s="156">
        <v>0</v>
      </c>
      <c r="H66" s="156">
        <v>0</v>
      </c>
      <c r="I66" s="4">
        <f t="shared" si="0"/>
        <v>0</v>
      </c>
      <c r="J66" s="156">
        <v>0</v>
      </c>
      <c r="K66" s="4">
        <f t="shared" si="1"/>
        <v>0</v>
      </c>
      <c r="L66" s="156" t="s">
        <v>53</v>
      </c>
      <c r="M66" s="157" t="s">
        <v>57</v>
      </c>
    </row>
    <row r="67" spans="1:13" ht="52.5" x14ac:dyDescent="0.35">
      <c r="A67" s="155" t="s">
        <v>78</v>
      </c>
      <c r="B67" s="156" t="s">
        <v>60</v>
      </c>
      <c r="C67" s="156" t="s">
        <v>26</v>
      </c>
      <c r="D67" s="156">
        <v>28</v>
      </c>
      <c r="E67" s="156">
        <v>1.6</v>
      </c>
      <c r="F67" s="156">
        <v>1160.5999999999999</v>
      </c>
      <c r="G67" s="156">
        <v>474</v>
      </c>
      <c r="H67" s="156">
        <v>0.09</v>
      </c>
      <c r="I67" s="4">
        <f t="shared" si="0"/>
        <v>68.256</v>
      </c>
      <c r="J67" s="156">
        <v>1.6</v>
      </c>
      <c r="K67" s="4">
        <f t="shared" si="1"/>
        <v>1213.4400000000003</v>
      </c>
      <c r="L67" s="156" t="s">
        <v>53</v>
      </c>
      <c r="M67" s="157" t="s">
        <v>57</v>
      </c>
    </row>
    <row r="68" spans="1:13" ht="52.5" x14ac:dyDescent="0.35">
      <c r="A68" s="155" t="s">
        <v>50</v>
      </c>
      <c r="B68" s="156" t="s">
        <v>131</v>
      </c>
      <c r="C68" s="156" t="s">
        <v>52</v>
      </c>
      <c r="D68" s="156">
        <v>125</v>
      </c>
      <c r="E68" s="156">
        <v>138.5</v>
      </c>
      <c r="F68" s="156">
        <v>69401.5</v>
      </c>
      <c r="G68" s="156">
        <v>61</v>
      </c>
      <c r="H68" s="156">
        <v>1.5</v>
      </c>
      <c r="I68" s="4">
        <f t="shared" si="0"/>
        <v>12672.75</v>
      </c>
      <c r="J68" s="156">
        <v>0</v>
      </c>
      <c r="K68" s="4">
        <f t="shared" si="1"/>
        <v>0</v>
      </c>
      <c r="L68" s="156" t="s">
        <v>53</v>
      </c>
      <c r="M68" s="157" t="s">
        <v>54</v>
      </c>
    </row>
    <row r="69" spans="1:13" ht="52.5" x14ac:dyDescent="0.35">
      <c r="A69" s="155" t="s">
        <v>59</v>
      </c>
      <c r="B69" s="156" t="s">
        <v>131</v>
      </c>
      <c r="C69" s="156" t="s">
        <v>61</v>
      </c>
      <c r="D69" s="156">
        <v>32</v>
      </c>
      <c r="E69" s="156">
        <v>36</v>
      </c>
      <c r="F69" s="156">
        <v>43</v>
      </c>
      <c r="G69" s="156">
        <v>0</v>
      </c>
      <c r="H69" s="156">
        <v>0</v>
      </c>
      <c r="I69" s="4">
        <f t="shared" si="0"/>
        <v>0</v>
      </c>
      <c r="J69" s="156">
        <v>0</v>
      </c>
      <c r="K69" s="4">
        <f t="shared" si="1"/>
        <v>0</v>
      </c>
      <c r="L69" s="156" t="s">
        <v>53</v>
      </c>
      <c r="M69" s="157" t="s">
        <v>57</v>
      </c>
    </row>
    <row r="70" spans="1:13" ht="52.5" x14ac:dyDescent="0.35">
      <c r="A70" s="155" t="s">
        <v>79</v>
      </c>
      <c r="B70" s="156" t="s">
        <v>131</v>
      </c>
      <c r="C70" s="156" t="s">
        <v>15</v>
      </c>
      <c r="D70" s="156">
        <v>15</v>
      </c>
      <c r="E70" s="156">
        <v>12.4</v>
      </c>
      <c r="F70" s="156">
        <v>10979.1</v>
      </c>
      <c r="G70" s="156">
        <v>875</v>
      </c>
      <c r="H70" s="156">
        <v>0.28000000000000003</v>
      </c>
      <c r="I70" s="4">
        <f t="shared" ref="I70:I85" si="2">(G70*E70)*H70</f>
        <v>3038.0000000000005</v>
      </c>
      <c r="J70" s="156">
        <v>0</v>
      </c>
      <c r="K70" s="4">
        <f t="shared" ref="K70:K85" si="3">(G70*E70)*J70</f>
        <v>0</v>
      </c>
      <c r="L70" s="156" t="s">
        <v>53</v>
      </c>
      <c r="M70" s="157" t="s">
        <v>57</v>
      </c>
    </row>
    <row r="71" spans="1:13" ht="52.5" x14ac:dyDescent="0.35">
      <c r="A71" s="155" t="s">
        <v>89</v>
      </c>
      <c r="B71" s="156" t="s">
        <v>131</v>
      </c>
      <c r="C71" s="156" t="s">
        <v>20</v>
      </c>
      <c r="D71" s="156">
        <v>400</v>
      </c>
      <c r="E71" s="156">
        <v>431.5</v>
      </c>
      <c r="F71" s="156">
        <v>301903.90000000002</v>
      </c>
      <c r="G71" s="156">
        <v>470</v>
      </c>
      <c r="H71" s="156">
        <v>0.2</v>
      </c>
      <c r="I71" s="4">
        <f t="shared" si="2"/>
        <v>40561</v>
      </c>
      <c r="J71" s="156">
        <v>1.6</v>
      </c>
      <c r="K71" s="4">
        <f t="shared" si="3"/>
        <v>324488</v>
      </c>
      <c r="L71" s="156" t="s">
        <v>53</v>
      </c>
      <c r="M71" s="157" t="s">
        <v>54</v>
      </c>
    </row>
    <row r="72" spans="1:13" ht="52.5" x14ac:dyDescent="0.35">
      <c r="A72" s="155" t="s">
        <v>78</v>
      </c>
      <c r="B72" s="156" t="s">
        <v>131</v>
      </c>
      <c r="C72" s="156" t="s">
        <v>26</v>
      </c>
      <c r="D72" s="156">
        <v>28</v>
      </c>
      <c r="E72" s="156">
        <v>31.5</v>
      </c>
      <c r="F72" s="156">
        <v>22023</v>
      </c>
      <c r="G72" s="156">
        <v>474</v>
      </c>
      <c r="H72" s="156">
        <v>0.09</v>
      </c>
      <c r="I72" s="4">
        <f t="shared" si="2"/>
        <v>1343.79</v>
      </c>
      <c r="J72" s="156">
        <v>1.6</v>
      </c>
      <c r="K72" s="4">
        <f t="shared" si="3"/>
        <v>23889.600000000002</v>
      </c>
      <c r="L72" s="156" t="s">
        <v>53</v>
      </c>
      <c r="M72" s="157" t="s">
        <v>57</v>
      </c>
    </row>
    <row r="73" spans="1:13" ht="70" x14ac:dyDescent="0.35">
      <c r="A73" s="155" t="s">
        <v>95</v>
      </c>
      <c r="B73" s="156" t="s">
        <v>106</v>
      </c>
      <c r="C73" s="156" t="s">
        <v>30</v>
      </c>
      <c r="D73" s="156">
        <v>440</v>
      </c>
      <c r="E73" s="156">
        <v>31.6</v>
      </c>
      <c r="F73" s="156">
        <v>75898.3</v>
      </c>
      <c r="G73" s="156">
        <v>2375</v>
      </c>
      <c r="H73" s="156">
        <v>0.15</v>
      </c>
      <c r="I73" s="4">
        <f t="shared" si="2"/>
        <v>11257.5</v>
      </c>
      <c r="J73" s="156">
        <v>0</v>
      </c>
      <c r="K73" s="4">
        <f t="shared" si="3"/>
        <v>0</v>
      </c>
      <c r="L73" s="156" t="s">
        <v>53</v>
      </c>
      <c r="M73" s="157" t="s">
        <v>54</v>
      </c>
    </row>
    <row r="74" spans="1:13" ht="52.5" x14ac:dyDescent="0.35">
      <c r="A74" s="155" t="s">
        <v>72</v>
      </c>
      <c r="B74" s="156" t="s">
        <v>77</v>
      </c>
      <c r="C74" s="156" t="s">
        <v>74</v>
      </c>
      <c r="D74" s="156">
        <v>140</v>
      </c>
      <c r="E74" s="156">
        <v>37.6</v>
      </c>
      <c r="F74" s="156">
        <v>1051.9000000000001</v>
      </c>
      <c r="G74" s="156">
        <v>16</v>
      </c>
      <c r="H74" s="156">
        <v>3.5</v>
      </c>
      <c r="I74" s="4">
        <f t="shared" si="2"/>
        <v>2105.6</v>
      </c>
      <c r="J74" s="156">
        <v>0</v>
      </c>
      <c r="K74" s="4">
        <f t="shared" si="3"/>
        <v>0</v>
      </c>
      <c r="L74" s="156" t="s">
        <v>53</v>
      </c>
      <c r="M74" s="157" t="s">
        <v>54</v>
      </c>
    </row>
    <row r="75" spans="1:13" ht="70" x14ac:dyDescent="0.35">
      <c r="A75" s="155" t="s">
        <v>95</v>
      </c>
      <c r="B75" s="156" t="s">
        <v>77</v>
      </c>
      <c r="C75" s="156" t="s">
        <v>30</v>
      </c>
      <c r="D75" s="156">
        <v>100</v>
      </c>
      <c r="E75" s="156">
        <v>27.1</v>
      </c>
      <c r="F75" s="156">
        <v>65022.3</v>
      </c>
      <c r="G75" s="156">
        <v>2375</v>
      </c>
      <c r="H75" s="156">
        <v>0.15</v>
      </c>
      <c r="I75" s="4">
        <f t="shared" si="2"/>
        <v>9654.375</v>
      </c>
      <c r="J75" s="156">
        <v>0</v>
      </c>
      <c r="K75" s="4">
        <f t="shared" si="3"/>
        <v>0</v>
      </c>
      <c r="L75" s="156" t="s">
        <v>53</v>
      </c>
      <c r="M75" s="157" t="s">
        <v>54</v>
      </c>
    </row>
    <row r="76" spans="1:13" ht="70" x14ac:dyDescent="0.35">
      <c r="A76" s="155" t="s">
        <v>95</v>
      </c>
      <c r="B76" s="156" t="s">
        <v>77</v>
      </c>
      <c r="C76" s="156" t="s">
        <v>30</v>
      </c>
      <c r="D76" s="156">
        <v>200</v>
      </c>
      <c r="E76" s="156">
        <v>52.9</v>
      </c>
      <c r="F76" s="156">
        <v>126894.5</v>
      </c>
      <c r="G76" s="156">
        <v>2375</v>
      </c>
      <c r="H76" s="156">
        <v>0.15</v>
      </c>
      <c r="I76" s="4">
        <f t="shared" si="2"/>
        <v>18845.625</v>
      </c>
      <c r="J76" s="156">
        <v>0</v>
      </c>
      <c r="K76" s="4">
        <f t="shared" si="3"/>
        <v>0</v>
      </c>
      <c r="L76" s="156" t="s">
        <v>53</v>
      </c>
      <c r="M76" s="157" t="s">
        <v>54</v>
      </c>
    </row>
    <row r="77" spans="1:13" ht="70" x14ac:dyDescent="0.35">
      <c r="A77" s="155" t="s">
        <v>95</v>
      </c>
      <c r="B77" s="156" t="s">
        <v>107</v>
      </c>
      <c r="C77" s="156" t="s">
        <v>31</v>
      </c>
      <c r="D77" s="156">
        <v>270</v>
      </c>
      <c r="E77" s="156">
        <v>89</v>
      </c>
      <c r="F77" s="156">
        <v>115655.8</v>
      </c>
      <c r="G77" s="156">
        <v>1410</v>
      </c>
      <c r="H77" s="156">
        <v>0.17</v>
      </c>
      <c r="I77" s="4">
        <f t="shared" si="2"/>
        <v>21333.300000000003</v>
      </c>
      <c r="J77" s="156">
        <v>0</v>
      </c>
      <c r="K77" s="4">
        <f t="shared" si="3"/>
        <v>0</v>
      </c>
      <c r="L77" s="156" t="s">
        <v>53</v>
      </c>
      <c r="M77" s="157" t="s">
        <v>54</v>
      </c>
    </row>
    <row r="78" spans="1:13" ht="70" x14ac:dyDescent="0.35">
      <c r="A78" s="155" t="s">
        <v>55</v>
      </c>
      <c r="B78" s="156" t="s">
        <v>73</v>
      </c>
      <c r="C78" s="156" t="s">
        <v>56</v>
      </c>
      <c r="D78" s="156">
        <v>150</v>
      </c>
      <c r="E78" s="156">
        <v>8.3000000000000007</v>
      </c>
      <c r="F78" s="156">
        <v>19539.400000000001</v>
      </c>
      <c r="G78" s="156">
        <v>2363</v>
      </c>
      <c r="H78" s="156">
        <v>0.14000000000000001</v>
      </c>
      <c r="I78" s="4">
        <f t="shared" si="2"/>
        <v>2745.8060000000005</v>
      </c>
      <c r="J78" s="156">
        <v>0</v>
      </c>
      <c r="K78" s="4">
        <f t="shared" si="3"/>
        <v>0</v>
      </c>
      <c r="L78" s="156" t="s">
        <v>53</v>
      </c>
      <c r="M78" s="157" t="s">
        <v>57</v>
      </c>
    </row>
    <row r="79" spans="1:13" ht="70" x14ac:dyDescent="0.35">
      <c r="A79" s="155" t="s">
        <v>72</v>
      </c>
      <c r="B79" s="156" t="s">
        <v>73</v>
      </c>
      <c r="C79" s="156" t="s">
        <v>74</v>
      </c>
      <c r="D79" s="156">
        <v>250</v>
      </c>
      <c r="E79" s="156">
        <v>13.9</v>
      </c>
      <c r="F79" s="156">
        <v>388.1</v>
      </c>
      <c r="G79" s="156">
        <v>16</v>
      </c>
      <c r="H79" s="156">
        <v>3.5</v>
      </c>
      <c r="I79" s="4">
        <f t="shared" si="2"/>
        <v>778.4</v>
      </c>
      <c r="J79" s="156">
        <v>0</v>
      </c>
      <c r="K79" s="4">
        <f t="shared" si="3"/>
        <v>0</v>
      </c>
      <c r="L79" s="156" t="s">
        <v>53</v>
      </c>
      <c r="M79" s="157" t="s">
        <v>54</v>
      </c>
    </row>
    <row r="80" spans="1:13" ht="52.5" x14ac:dyDescent="0.35">
      <c r="A80" s="155" t="s">
        <v>55</v>
      </c>
      <c r="B80" s="156" t="s">
        <v>84</v>
      </c>
      <c r="C80" s="156" t="s">
        <v>56</v>
      </c>
      <c r="D80" s="156">
        <v>100</v>
      </c>
      <c r="E80" s="156">
        <v>34.700000000000003</v>
      </c>
      <c r="F80" s="156">
        <v>81845.100000000006</v>
      </c>
      <c r="G80" s="156">
        <v>2363</v>
      </c>
      <c r="H80" s="156">
        <v>0.14000000000000001</v>
      </c>
      <c r="I80" s="4">
        <f t="shared" si="2"/>
        <v>11479.454000000002</v>
      </c>
      <c r="J80" s="156">
        <v>0</v>
      </c>
      <c r="K80" s="4">
        <f t="shared" si="3"/>
        <v>0</v>
      </c>
      <c r="L80" s="156" t="s">
        <v>53</v>
      </c>
      <c r="M80" s="157" t="s">
        <v>57</v>
      </c>
    </row>
    <row r="81" spans="1:13" ht="52.5" x14ac:dyDescent="0.35">
      <c r="A81" s="155" t="s">
        <v>72</v>
      </c>
      <c r="B81" s="156" t="s">
        <v>84</v>
      </c>
      <c r="C81" s="156" t="s">
        <v>74</v>
      </c>
      <c r="D81" s="156">
        <v>300</v>
      </c>
      <c r="E81" s="156">
        <v>104.5</v>
      </c>
      <c r="F81" s="156">
        <v>2917.9</v>
      </c>
      <c r="G81" s="156">
        <v>16</v>
      </c>
      <c r="H81" s="156">
        <v>3.5</v>
      </c>
      <c r="I81" s="4">
        <f t="shared" si="2"/>
        <v>5852</v>
      </c>
      <c r="J81" s="156">
        <v>0</v>
      </c>
      <c r="K81" s="4">
        <f t="shared" si="3"/>
        <v>0</v>
      </c>
      <c r="L81" s="156" t="s">
        <v>53</v>
      </c>
      <c r="M81" s="157" t="s">
        <v>54</v>
      </c>
    </row>
    <row r="82" spans="1:13" ht="52.5" x14ac:dyDescent="0.35">
      <c r="A82" s="155" t="s">
        <v>81</v>
      </c>
      <c r="B82" s="156" t="s">
        <v>82</v>
      </c>
      <c r="C82" s="156" t="s">
        <v>18</v>
      </c>
      <c r="D82" s="156">
        <v>5</v>
      </c>
      <c r="E82" s="156">
        <v>0</v>
      </c>
      <c r="F82" s="156">
        <v>1523.5</v>
      </c>
      <c r="G82" s="156">
        <v>1620</v>
      </c>
      <c r="H82" s="156">
        <v>0.16</v>
      </c>
      <c r="I82" s="4">
        <f t="shared" si="2"/>
        <v>0</v>
      </c>
      <c r="J82" s="156">
        <v>0</v>
      </c>
      <c r="K82" s="4">
        <f t="shared" si="3"/>
        <v>0</v>
      </c>
      <c r="L82" s="156" t="s">
        <v>53</v>
      </c>
      <c r="M82" s="157" t="s">
        <v>83</v>
      </c>
    </row>
    <row r="83" spans="1:13" ht="52.5" x14ac:dyDescent="0.35">
      <c r="A83" s="155" t="s">
        <v>89</v>
      </c>
      <c r="B83" s="156" t="s">
        <v>82</v>
      </c>
      <c r="C83" s="156" t="s">
        <v>24</v>
      </c>
      <c r="D83" s="156">
        <v>51</v>
      </c>
      <c r="E83" s="156">
        <v>96.8</v>
      </c>
      <c r="F83" s="156">
        <v>61423.6</v>
      </c>
      <c r="G83" s="156">
        <v>470</v>
      </c>
      <c r="H83" s="156">
        <v>0.36</v>
      </c>
      <c r="I83" s="4">
        <f t="shared" si="2"/>
        <v>16378.56</v>
      </c>
      <c r="J83" s="156">
        <v>1.6</v>
      </c>
      <c r="K83" s="4">
        <f t="shared" si="3"/>
        <v>72793.600000000006</v>
      </c>
      <c r="L83" s="156" t="s">
        <v>53</v>
      </c>
      <c r="M83" s="157" t="s">
        <v>54</v>
      </c>
    </row>
    <row r="84" spans="1:13" ht="70" x14ac:dyDescent="0.35">
      <c r="A84" s="155" t="s">
        <v>58</v>
      </c>
      <c r="B84" s="156" t="s">
        <v>82</v>
      </c>
      <c r="C84" s="156" t="s">
        <v>32</v>
      </c>
      <c r="D84" s="156">
        <v>540</v>
      </c>
      <c r="E84" s="156">
        <v>17.600000000000001</v>
      </c>
      <c r="F84" s="156">
        <v>42896.4</v>
      </c>
      <c r="G84" s="156">
        <v>2400</v>
      </c>
      <c r="H84" s="156">
        <v>0.19</v>
      </c>
      <c r="I84" s="4">
        <f t="shared" si="2"/>
        <v>8025.6</v>
      </c>
      <c r="J84" s="156">
        <v>0</v>
      </c>
      <c r="K84" s="4">
        <f t="shared" si="3"/>
        <v>0</v>
      </c>
      <c r="L84" s="156" t="s">
        <v>53</v>
      </c>
      <c r="M84" s="157" t="s">
        <v>54</v>
      </c>
    </row>
    <row r="85" spans="1:13" ht="70" x14ac:dyDescent="0.35">
      <c r="A85" s="155" t="s">
        <v>58</v>
      </c>
      <c r="B85" s="156" t="s">
        <v>82</v>
      </c>
      <c r="C85" s="156" t="s">
        <v>32</v>
      </c>
      <c r="D85" s="156">
        <v>740</v>
      </c>
      <c r="E85" s="156">
        <v>20.399999999999999</v>
      </c>
      <c r="F85" s="156">
        <v>49174.7</v>
      </c>
      <c r="G85" s="156">
        <v>2400</v>
      </c>
      <c r="H85" s="156">
        <v>0.19</v>
      </c>
      <c r="I85" s="4">
        <f t="shared" si="2"/>
        <v>9302.4</v>
      </c>
      <c r="J85" s="156">
        <v>0</v>
      </c>
      <c r="K85" s="4">
        <f t="shared" si="3"/>
        <v>0</v>
      </c>
      <c r="L85" s="156" t="s">
        <v>53</v>
      </c>
      <c r="M85" s="157" t="s">
        <v>54</v>
      </c>
    </row>
    <row r="86" spans="1:13" ht="17.5" x14ac:dyDescent="0.35">
      <c r="A86" s="156" t="s">
        <v>109</v>
      </c>
      <c r="B86" s="156" t="s">
        <v>109</v>
      </c>
      <c r="C86" s="156" t="s">
        <v>109</v>
      </c>
      <c r="D86" s="156" t="s">
        <v>109</v>
      </c>
      <c r="E86" s="156">
        <v>4378</v>
      </c>
      <c r="F86" s="156" t="s">
        <v>109</v>
      </c>
      <c r="G86" s="156" t="s">
        <v>109</v>
      </c>
      <c r="H86" s="156">
        <v>4378</v>
      </c>
      <c r="I86" s="140">
        <f>SUM(I6:I85)</f>
        <v>392485.54299999995</v>
      </c>
      <c r="J86" s="140"/>
      <c r="K86" s="140">
        <f t="shared" ref="K86" si="4">SUM(K6:K85)</f>
        <v>737734.96</v>
      </c>
      <c r="L86" s="156" t="s">
        <v>109</v>
      </c>
      <c r="M86" s="156" t="s">
        <v>109</v>
      </c>
    </row>
    <row r="87" spans="1:13" ht="15.5" x14ac:dyDescent="0.3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</row>
    <row r="88" spans="1:13" ht="15.5" x14ac:dyDescent="0.35">
      <c r="A88" s="4"/>
      <c r="B88" s="4"/>
      <c r="C88" s="4"/>
      <c r="D88" s="4"/>
      <c r="E88" s="4"/>
      <c r="F88" s="4"/>
      <c r="G88" s="4"/>
      <c r="H88" s="4"/>
      <c r="I88" s="4"/>
      <c r="J88" s="140">
        <f>I86-K86</f>
        <v>-345249.41700000002</v>
      </c>
      <c r="K88" s="4" t="s">
        <v>44</v>
      </c>
      <c r="L88" s="4"/>
      <c r="M88" s="4"/>
    </row>
    <row r="89" spans="1:13" ht="15.5" x14ac:dyDescent="0.35">
      <c r="A89" s="4"/>
      <c r="B89" s="4"/>
      <c r="C89" s="4"/>
      <c r="D89" s="4"/>
      <c r="E89" s="4"/>
      <c r="F89" s="4"/>
      <c r="G89" s="4"/>
      <c r="H89" s="4"/>
      <c r="I89" s="4"/>
      <c r="J89" s="140">
        <f>J88/1000</f>
        <v>-345.24941699999999</v>
      </c>
      <c r="K89" s="4" t="s">
        <v>110</v>
      </c>
      <c r="L89" s="4"/>
      <c r="M89" s="4"/>
    </row>
    <row r="90" spans="1:13" ht="15.5" x14ac:dyDescent="0.3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</row>
  </sheetData>
  <mergeCells count="1">
    <mergeCell ref="A3:K3"/>
  </mergeCells>
  <conditionalFormatting sqref="J88:J89">
    <cfRule type="cellIs" dxfId="186" priority="1" operator="lessThan">
      <formula>0</formula>
    </cfRule>
  </conditionalFormatting>
  <pageMargins left="0.7" right="0.7" top="0.75" bottom="0.75" header="0.3" footer="0.3"/>
  <pageSetup paperSize="9" orientation="portrait" verticalDpi="0" r:id="rId1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C4D696-573D-4547-AC28-6C96259334F7}">
  <dimension ref="A1:K96"/>
  <sheetViews>
    <sheetView workbookViewId="0">
      <selection sqref="A1:XFD1048576"/>
    </sheetView>
  </sheetViews>
  <sheetFormatPr defaultRowHeight="15.5" x14ac:dyDescent="0.35"/>
  <cols>
    <col min="1" max="16384" width="8.7265625" style="4"/>
  </cols>
  <sheetData>
    <row r="1" spans="1:11" ht="17.5" x14ac:dyDescent="0.45">
      <c r="A1" s="163" t="s">
        <v>349</v>
      </c>
      <c r="B1" s="163"/>
      <c r="C1" s="163"/>
      <c r="D1" s="163"/>
      <c r="E1" s="163"/>
      <c r="F1" s="163"/>
      <c r="G1" s="163"/>
      <c r="H1" s="163"/>
      <c r="I1" s="163"/>
    </row>
    <row r="2" spans="1:11" ht="17.5" x14ac:dyDescent="0.45">
      <c r="A2" s="163" t="s">
        <v>369</v>
      </c>
      <c r="B2" s="163"/>
      <c r="C2" s="163"/>
      <c r="D2" s="163"/>
      <c r="E2" s="163"/>
      <c r="F2" s="163"/>
      <c r="G2" s="163"/>
      <c r="H2" s="163"/>
      <c r="I2" s="163"/>
    </row>
    <row r="3" spans="1:11" ht="17.5" x14ac:dyDescent="0.35">
      <c r="A3" s="266" t="s">
        <v>159</v>
      </c>
      <c r="B3" s="266"/>
      <c r="C3" s="266"/>
      <c r="D3" s="266"/>
      <c r="E3" s="266"/>
      <c r="F3" s="266"/>
      <c r="G3" s="266"/>
      <c r="H3" s="266"/>
      <c r="I3" s="266"/>
    </row>
    <row r="4" spans="1:11" ht="87.5" x14ac:dyDescent="0.45">
      <c r="A4" s="136" t="s">
        <v>36</v>
      </c>
      <c r="B4" s="136" t="s">
        <v>37</v>
      </c>
      <c r="C4" s="136" t="s">
        <v>38</v>
      </c>
      <c r="D4" s="136" t="s">
        <v>111</v>
      </c>
      <c r="E4" s="136" t="s">
        <v>112</v>
      </c>
      <c r="F4" s="136" t="s">
        <v>132</v>
      </c>
      <c r="G4" s="163"/>
      <c r="H4" s="136" t="s">
        <v>133</v>
      </c>
      <c r="I4" s="163"/>
      <c r="J4" s="136" t="s">
        <v>134</v>
      </c>
      <c r="K4" s="136" t="s">
        <v>47</v>
      </c>
    </row>
    <row r="5" spans="1:11" ht="17.5" x14ac:dyDescent="0.35">
      <c r="A5" s="156"/>
      <c r="B5" s="156"/>
      <c r="C5" s="156"/>
      <c r="D5" s="156"/>
      <c r="E5" s="156"/>
      <c r="F5" s="156"/>
      <c r="H5" s="156"/>
      <c r="J5" s="156"/>
      <c r="K5" s="156"/>
    </row>
    <row r="6" spans="1:11" ht="17.5" x14ac:dyDescent="0.35">
      <c r="A6" s="156"/>
      <c r="B6" s="156"/>
      <c r="C6" s="156"/>
      <c r="D6" s="156"/>
      <c r="E6" s="156"/>
      <c r="F6" s="156"/>
      <c r="H6" s="156"/>
      <c r="J6" s="156"/>
      <c r="K6" s="156"/>
    </row>
    <row r="7" spans="1:11" ht="52.5" x14ac:dyDescent="0.35">
      <c r="A7" s="155" t="s">
        <v>36</v>
      </c>
      <c r="B7" s="156" t="s">
        <v>37</v>
      </c>
      <c r="C7" s="156" t="s">
        <v>38</v>
      </c>
      <c r="D7" s="156" t="s">
        <v>265</v>
      </c>
      <c r="E7" s="156" t="s">
        <v>264</v>
      </c>
      <c r="F7" s="156" t="s">
        <v>115</v>
      </c>
      <c r="G7" s="4" t="s">
        <v>44</v>
      </c>
      <c r="H7" s="156" t="s">
        <v>116</v>
      </c>
      <c r="I7" s="4" t="s">
        <v>117</v>
      </c>
      <c r="J7" s="156" t="s">
        <v>114</v>
      </c>
      <c r="K7" s="157" t="s">
        <v>263</v>
      </c>
    </row>
    <row r="8" spans="1:11" ht="70" x14ac:dyDescent="0.35">
      <c r="A8" s="155" t="s">
        <v>135</v>
      </c>
      <c r="B8" s="156" t="s">
        <v>136</v>
      </c>
      <c r="C8" s="156" t="s">
        <v>137</v>
      </c>
      <c r="D8" s="156">
        <v>450</v>
      </c>
      <c r="E8" s="156">
        <v>189.5</v>
      </c>
      <c r="F8" s="156">
        <v>1.02</v>
      </c>
      <c r="G8" s="4">
        <f t="shared" ref="G8:G71" si="0">(E8*J8)*F8</f>
        <v>5798.7</v>
      </c>
      <c r="H8" s="156">
        <v>1.1000000000000001</v>
      </c>
      <c r="I8" s="4">
        <f t="shared" ref="I8:I71" si="1">(E8*J8)*H8</f>
        <v>6253.5000000000009</v>
      </c>
      <c r="J8" s="156">
        <v>30</v>
      </c>
      <c r="K8" s="157" t="s">
        <v>57</v>
      </c>
    </row>
    <row r="9" spans="1:11" ht="52.5" x14ac:dyDescent="0.35">
      <c r="A9" s="155" t="s">
        <v>79</v>
      </c>
      <c r="B9" s="156" t="s">
        <v>136</v>
      </c>
      <c r="C9" s="156" t="s">
        <v>15</v>
      </c>
      <c r="D9" s="156">
        <v>13</v>
      </c>
      <c r="E9" s="156">
        <v>5.2</v>
      </c>
      <c r="F9" s="156">
        <v>0.28000000000000003</v>
      </c>
      <c r="G9" s="4">
        <f t="shared" si="0"/>
        <v>1274.0000000000002</v>
      </c>
      <c r="H9" s="156">
        <v>0</v>
      </c>
      <c r="I9" s="4">
        <f t="shared" si="1"/>
        <v>0</v>
      </c>
      <c r="J9" s="156">
        <v>875</v>
      </c>
      <c r="K9" s="157" t="s">
        <v>57</v>
      </c>
    </row>
    <row r="10" spans="1:11" ht="87.5" x14ac:dyDescent="0.35">
      <c r="A10" s="155" t="s">
        <v>98</v>
      </c>
      <c r="B10" s="156" t="s">
        <v>99</v>
      </c>
      <c r="C10" s="156" t="s">
        <v>100</v>
      </c>
      <c r="D10" s="156">
        <v>125</v>
      </c>
      <c r="E10" s="156">
        <v>12.7</v>
      </c>
      <c r="F10" s="156">
        <v>0.36</v>
      </c>
      <c r="G10" s="4">
        <f t="shared" si="0"/>
        <v>2944.3679999999995</v>
      </c>
      <c r="H10" s="156">
        <v>0</v>
      </c>
      <c r="I10" s="4">
        <f t="shared" si="1"/>
        <v>0</v>
      </c>
      <c r="J10" s="156">
        <v>644</v>
      </c>
      <c r="K10" s="157" t="s">
        <v>57</v>
      </c>
    </row>
    <row r="11" spans="1:11" ht="87.5" x14ac:dyDescent="0.35">
      <c r="A11" s="155" t="s">
        <v>58</v>
      </c>
      <c r="B11" s="156" t="s">
        <v>108</v>
      </c>
      <c r="C11" s="156" t="s">
        <v>32</v>
      </c>
      <c r="D11" s="156">
        <v>200</v>
      </c>
      <c r="E11" s="156">
        <v>64.7</v>
      </c>
      <c r="F11" s="156">
        <v>0.19</v>
      </c>
      <c r="G11" s="4">
        <f t="shared" si="0"/>
        <v>29503.200000000001</v>
      </c>
      <c r="H11" s="156">
        <v>0</v>
      </c>
      <c r="I11" s="4">
        <f t="shared" si="1"/>
        <v>0</v>
      </c>
      <c r="J11" s="156">
        <v>2400</v>
      </c>
      <c r="K11" s="157" t="s">
        <v>57</v>
      </c>
    </row>
    <row r="12" spans="1:11" ht="70" x14ac:dyDescent="0.35">
      <c r="A12" s="155" t="s">
        <v>58</v>
      </c>
      <c r="B12" s="156" t="s">
        <v>103</v>
      </c>
      <c r="C12" s="156" t="s">
        <v>32</v>
      </c>
      <c r="D12" s="156">
        <v>300</v>
      </c>
      <c r="E12" s="156">
        <v>16.2</v>
      </c>
      <c r="F12" s="156">
        <v>0.19</v>
      </c>
      <c r="G12" s="4">
        <f t="shared" si="0"/>
        <v>7387.2</v>
      </c>
      <c r="H12" s="156">
        <v>0</v>
      </c>
      <c r="I12" s="4">
        <f t="shared" si="1"/>
        <v>0</v>
      </c>
      <c r="J12" s="156">
        <v>2400</v>
      </c>
      <c r="K12" s="157" t="s">
        <v>54</v>
      </c>
    </row>
    <row r="13" spans="1:11" ht="70" x14ac:dyDescent="0.35">
      <c r="A13" s="155" t="s">
        <v>50</v>
      </c>
      <c r="B13" s="156" t="s">
        <v>97</v>
      </c>
      <c r="C13" s="156" t="s">
        <v>52</v>
      </c>
      <c r="D13" s="156">
        <v>66</v>
      </c>
      <c r="E13" s="156">
        <v>74.8</v>
      </c>
      <c r="F13" s="156">
        <v>1.5</v>
      </c>
      <c r="G13" s="4">
        <f t="shared" si="0"/>
        <v>6844.2000000000007</v>
      </c>
      <c r="H13" s="156">
        <v>0</v>
      </c>
      <c r="I13" s="4">
        <f t="shared" si="1"/>
        <v>0</v>
      </c>
      <c r="J13" s="156">
        <v>61</v>
      </c>
      <c r="K13" s="157" t="s">
        <v>54</v>
      </c>
    </row>
    <row r="14" spans="1:11" ht="70" x14ac:dyDescent="0.35">
      <c r="A14" s="155" t="s">
        <v>79</v>
      </c>
      <c r="B14" s="156" t="s">
        <v>97</v>
      </c>
      <c r="C14" s="156" t="s">
        <v>15</v>
      </c>
      <c r="D14" s="156">
        <v>13</v>
      </c>
      <c r="E14" s="156">
        <v>17.600000000000001</v>
      </c>
      <c r="F14" s="156">
        <v>0.28000000000000003</v>
      </c>
      <c r="G14" s="4">
        <f t="shared" si="0"/>
        <v>4312.0000000000009</v>
      </c>
      <c r="H14" s="156">
        <v>0</v>
      </c>
      <c r="I14" s="4">
        <f t="shared" si="1"/>
        <v>0</v>
      </c>
      <c r="J14" s="156">
        <v>875</v>
      </c>
      <c r="K14" s="157" t="s">
        <v>54</v>
      </c>
    </row>
    <row r="15" spans="1:11" ht="70" x14ac:dyDescent="0.35">
      <c r="A15" s="155" t="s">
        <v>79</v>
      </c>
      <c r="B15" s="156" t="s">
        <v>97</v>
      </c>
      <c r="C15" s="156" t="s">
        <v>15</v>
      </c>
      <c r="D15" s="156">
        <v>13</v>
      </c>
      <c r="E15" s="156">
        <v>17.600000000000001</v>
      </c>
      <c r="F15" s="156">
        <v>0.28000000000000003</v>
      </c>
      <c r="G15" s="4">
        <f t="shared" si="0"/>
        <v>4312.0000000000009</v>
      </c>
      <c r="H15" s="156">
        <v>0</v>
      </c>
      <c r="I15" s="4">
        <f t="shared" si="1"/>
        <v>0</v>
      </c>
      <c r="J15" s="156">
        <v>875</v>
      </c>
      <c r="K15" s="157" t="s">
        <v>57</v>
      </c>
    </row>
    <row r="16" spans="1:11" ht="122.5" x14ac:dyDescent="0.35">
      <c r="A16" s="155" t="s">
        <v>50</v>
      </c>
      <c r="B16" s="156" t="s">
        <v>62</v>
      </c>
      <c r="C16" s="156" t="s">
        <v>52</v>
      </c>
      <c r="D16" s="156">
        <v>98</v>
      </c>
      <c r="E16" s="156">
        <v>1</v>
      </c>
      <c r="F16" s="156">
        <v>1.5</v>
      </c>
      <c r="G16" s="4">
        <f t="shared" si="0"/>
        <v>91.5</v>
      </c>
      <c r="H16" s="156">
        <v>0</v>
      </c>
      <c r="I16" s="4">
        <f t="shared" si="1"/>
        <v>0</v>
      </c>
      <c r="J16" s="156">
        <v>61</v>
      </c>
      <c r="K16" s="157" t="s">
        <v>57</v>
      </c>
    </row>
    <row r="17" spans="1:11" ht="122.5" x14ac:dyDescent="0.35">
      <c r="A17" s="155" t="s">
        <v>59</v>
      </c>
      <c r="B17" s="156" t="s">
        <v>62</v>
      </c>
      <c r="C17" s="156" t="s">
        <v>61</v>
      </c>
      <c r="D17" s="156">
        <v>20</v>
      </c>
      <c r="E17" s="156">
        <v>0</v>
      </c>
      <c r="F17" s="156">
        <v>0</v>
      </c>
      <c r="G17" s="4">
        <f t="shared" si="0"/>
        <v>0</v>
      </c>
      <c r="H17" s="156">
        <v>0</v>
      </c>
      <c r="I17" s="4">
        <f t="shared" si="1"/>
        <v>0</v>
      </c>
      <c r="J17" s="156">
        <v>0</v>
      </c>
      <c r="K17" s="157" t="s">
        <v>57</v>
      </c>
    </row>
    <row r="18" spans="1:11" ht="122.5" x14ac:dyDescent="0.35">
      <c r="A18" s="155" t="s">
        <v>79</v>
      </c>
      <c r="B18" s="156" t="s">
        <v>62</v>
      </c>
      <c r="C18" s="156" t="s">
        <v>15</v>
      </c>
      <c r="D18" s="156">
        <v>15</v>
      </c>
      <c r="E18" s="156">
        <v>0</v>
      </c>
      <c r="F18" s="156">
        <v>0.28000000000000003</v>
      </c>
      <c r="G18" s="4">
        <f t="shared" si="0"/>
        <v>0</v>
      </c>
      <c r="H18" s="156">
        <v>0</v>
      </c>
      <c r="I18" s="4">
        <f t="shared" si="1"/>
        <v>0</v>
      </c>
      <c r="J18" s="156">
        <v>875</v>
      </c>
      <c r="K18" s="157" t="s">
        <v>57</v>
      </c>
    </row>
    <row r="19" spans="1:11" ht="122.5" x14ac:dyDescent="0.35">
      <c r="A19" s="155" t="s">
        <v>79</v>
      </c>
      <c r="B19" s="156" t="s">
        <v>62</v>
      </c>
      <c r="C19" s="156" t="s">
        <v>15</v>
      </c>
      <c r="D19" s="156">
        <v>15</v>
      </c>
      <c r="E19" s="156">
        <v>0</v>
      </c>
      <c r="F19" s="156">
        <v>0.28000000000000003</v>
      </c>
      <c r="G19" s="4">
        <f t="shared" si="0"/>
        <v>0</v>
      </c>
      <c r="H19" s="156">
        <v>0</v>
      </c>
      <c r="I19" s="4">
        <f t="shared" si="1"/>
        <v>0</v>
      </c>
      <c r="J19" s="156">
        <v>875</v>
      </c>
      <c r="K19" s="157" t="s">
        <v>54</v>
      </c>
    </row>
    <row r="20" spans="1:11" ht="122.5" x14ac:dyDescent="0.35">
      <c r="A20" s="155" t="s">
        <v>89</v>
      </c>
      <c r="B20" s="156" t="s">
        <v>62</v>
      </c>
      <c r="C20" s="156" t="s">
        <v>20</v>
      </c>
      <c r="D20" s="156">
        <v>80</v>
      </c>
      <c r="E20" s="156">
        <v>1</v>
      </c>
      <c r="F20" s="156">
        <v>0.2</v>
      </c>
      <c r="G20" s="4">
        <f t="shared" si="0"/>
        <v>94</v>
      </c>
      <c r="H20" s="156">
        <v>1.6</v>
      </c>
      <c r="I20" s="4">
        <f t="shared" si="1"/>
        <v>752</v>
      </c>
      <c r="J20" s="156">
        <v>470</v>
      </c>
      <c r="K20" s="157" t="s">
        <v>57</v>
      </c>
    </row>
    <row r="21" spans="1:11" ht="70" x14ac:dyDescent="0.35">
      <c r="A21" s="155" t="s">
        <v>95</v>
      </c>
      <c r="B21" s="156" t="s">
        <v>80</v>
      </c>
      <c r="C21" s="156" t="s">
        <v>30</v>
      </c>
      <c r="D21" s="156">
        <v>120</v>
      </c>
      <c r="E21" s="156">
        <v>13.4</v>
      </c>
      <c r="F21" s="156">
        <v>0.14000000000000001</v>
      </c>
      <c r="G21" s="4">
        <f t="shared" si="0"/>
        <v>4502.4000000000005</v>
      </c>
      <c r="H21" s="156">
        <v>0</v>
      </c>
      <c r="I21" s="4">
        <f t="shared" si="1"/>
        <v>0</v>
      </c>
      <c r="J21" s="156">
        <v>2400</v>
      </c>
      <c r="K21" s="157" t="s">
        <v>54</v>
      </c>
    </row>
    <row r="22" spans="1:11" ht="192.5" x14ac:dyDescent="0.35">
      <c r="A22" s="155" t="s">
        <v>75</v>
      </c>
      <c r="B22" s="156" t="s">
        <v>142</v>
      </c>
      <c r="C22" s="156" t="s">
        <v>76</v>
      </c>
      <c r="D22" s="156">
        <v>98</v>
      </c>
      <c r="E22" s="156">
        <v>21.9</v>
      </c>
      <c r="F22" s="156">
        <v>1.5</v>
      </c>
      <c r="G22" s="4">
        <f t="shared" si="0"/>
        <v>1084.05</v>
      </c>
      <c r="H22" s="156">
        <v>0</v>
      </c>
      <c r="I22" s="4">
        <f t="shared" si="1"/>
        <v>0</v>
      </c>
      <c r="J22" s="156">
        <v>33</v>
      </c>
      <c r="K22" s="157" t="s">
        <v>57</v>
      </c>
    </row>
    <row r="23" spans="1:11" ht="192.5" x14ac:dyDescent="0.35">
      <c r="A23" s="155" t="s">
        <v>79</v>
      </c>
      <c r="B23" s="156" t="s">
        <v>142</v>
      </c>
      <c r="C23" s="156" t="s">
        <v>15</v>
      </c>
      <c r="D23" s="156">
        <v>12</v>
      </c>
      <c r="E23" s="156">
        <v>3</v>
      </c>
      <c r="F23" s="156">
        <v>0.28000000000000003</v>
      </c>
      <c r="G23" s="4">
        <f t="shared" si="0"/>
        <v>735.00000000000011</v>
      </c>
      <c r="H23" s="156">
        <v>0</v>
      </c>
      <c r="I23" s="4">
        <f t="shared" si="1"/>
        <v>0</v>
      </c>
      <c r="J23" s="156">
        <v>875</v>
      </c>
      <c r="K23" s="157" t="s">
        <v>54</v>
      </c>
    </row>
    <row r="24" spans="1:11" ht="192.5" x14ac:dyDescent="0.35">
      <c r="A24" s="155" t="s">
        <v>79</v>
      </c>
      <c r="B24" s="156" t="s">
        <v>142</v>
      </c>
      <c r="C24" s="156" t="s">
        <v>15</v>
      </c>
      <c r="D24" s="156">
        <v>12</v>
      </c>
      <c r="E24" s="156">
        <v>3.5</v>
      </c>
      <c r="F24" s="156">
        <v>0.28000000000000003</v>
      </c>
      <c r="G24" s="4">
        <f t="shared" si="0"/>
        <v>857.50000000000011</v>
      </c>
      <c r="H24" s="156">
        <v>0</v>
      </c>
      <c r="I24" s="4">
        <f t="shared" si="1"/>
        <v>0</v>
      </c>
      <c r="J24" s="156">
        <v>875</v>
      </c>
      <c r="K24" s="157" t="s">
        <v>57</v>
      </c>
    </row>
    <row r="25" spans="1:11" ht="192.5" x14ac:dyDescent="0.35">
      <c r="A25" s="155" t="s">
        <v>79</v>
      </c>
      <c r="B25" s="156" t="s">
        <v>142</v>
      </c>
      <c r="C25" s="156" t="s">
        <v>15</v>
      </c>
      <c r="D25" s="156">
        <v>13</v>
      </c>
      <c r="E25" s="156">
        <v>3.5</v>
      </c>
      <c r="F25" s="156">
        <v>0.28000000000000003</v>
      </c>
      <c r="G25" s="4">
        <f t="shared" si="0"/>
        <v>857.50000000000011</v>
      </c>
      <c r="H25" s="156">
        <v>0</v>
      </c>
      <c r="I25" s="4">
        <f t="shared" si="1"/>
        <v>0</v>
      </c>
      <c r="J25" s="156">
        <v>875</v>
      </c>
      <c r="K25" s="157" t="s">
        <v>54</v>
      </c>
    </row>
    <row r="26" spans="1:11" ht="157.5" x14ac:dyDescent="0.35">
      <c r="A26" s="155" t="s">
        <v>50</v>
      </c>
      <c r="B26" s="156" t="s">
        <v>93</v>
      </c>
      <c r="C26" s="156" t="s">
        <v>52</v>
      </c>
      <c r="D26" s="156">
        <v>66</v>
      </c>
      <c r="E26" s="156">
        <v>16.5</v>
      </c>
      <c r="F26" s="156">
        <v>1.5</v>
      </c>
      <c r="G26" s="4">
        <f t="shared" si="0"/>
        <v>1509.75</v>
      </c>
      <c r="H26" s="156">
        <v>0</v>
      </c>
      <c r="I26" s="4">
        <f t="shared" si="1"/>
        <v>0</v>
      </c>
      <c r="J26" s="156">
        <v>61</v>
      </c>
      <c r="K26" s="157" t="s">
        <v>54</v>
      </c>
    </row>
    <row r="27" spans="1:11" ht="157.5" x14ac:dyDescent="0.35">
      <c r="A27" s="155" t="s">
        <v>79</v>
      </c>
      <c r="B27" s="156" t="s">
        <v>93</v>
      </c>
      <c r="C27" s="156" t="s">
        <v>15</v>
      </c>
      <c r="D27" s="156">
        <v>15</v>
      </c>
      <c r="E27" s="156">
        <v>7</v>
      </c>
      <c r="F27" s="156">
        <v>0.28000000000000003</v>
      </c>
      <c r="G27" s="4">
        <f t="shared" si="0"/>
        <v>1715.0000000000002</v>
      </c>
      <c r="H27" s="156">
        <v>0</v>
      </c>
      <c r="I27" s="4">
        <f t="shared" si="1"/>
        <v>0</v>
      </c>
      <c r="J27" s="156">
        <v>875</v>
      </c>
      <c r="K27" s="157" t="s">
        <v>57</v>
      </c>
    </row>
    <row r="28" spans="1:11" ht="140" x14ac:dyDescent="0.35">
      <c r="A28" s="155" t="s">
        <v>50</v>
      </c>
      <c r="B28" s="156" t="s">
        <v>141</v>
      </c>
      <c r="C28" s="156" t="s">
        <v>52</v>
      </c>
      <c r="D28" s="156">
        <v>98</v>
      </c>
      <c r="E28" s="156">
        <v>20.5</v>
      </c>
      <c r="F28" s="156">
        <v>1.5</v>
      </c>
      <c r="G28" s="4">
        <f t="shared" si="0"/>
        <v>1875.75</v>
      </c>
      <c r="H28" s="156">
        <v>0</v>
      </c>
      <c r="I28" s="4">
        <f t="shared" si="1"/>
        <v>0</v>
      </c>
      <c r="J28" s="156">
        <v>61</v>
      </c>
      <c r="K28" s="157" t="s">
        <v>54</v>
      </c>
    </row>
    <row r="29" spans="1:11" ht="140" x14ac:dyDescent="0.35">
      <c r="A29" s="155" t="s">
        <v>75</v>
      </c>
      <c r="B29" s="156" t="s">
        <v>141</v>
      </c>
      <c r="C29" s="156" t="s">
        <v>76</v>
      </c>
      <c r="D29" s="156">
        <v>98</v>
      </c>
      <c r="E29" s="156">
        <v>21.1</v>
      </c>
      <c r="F29" s="156">
        <v>1.5</v>
      </c>
      <c r="G29" s="4">
        <f t="shared" si="0"/>
        <v>1044.45</v>
      </c>
      <c r="H29" s="156">
        <v>0</v>
      </c>
      <c r="I29" s="4">
        <f t="shared" si="1"/>
        <v>0</v>
      </c>
      <c r="J29" s="156">
        <v>33</v>
      </c>
      <c r="K29" s="157" t="s">
        <v>54</v>
      </c>
    </row>
    <row r="30" spans="1:11" ht="140" x14ac:dyDescent="0.35">
      <c r="A30" s="155" t="s">
        <v>59</v>
      </c>
      <c r="B30" s="156" t="s">
        <v>141</v>
      </c>
      <c r="C30" s="156" t="s">
        <v>61</v>
      </c>
      <c r="D30" s="156">
        <v>20</v>
      </c>
      <c r="E30" s="156">
        <v>4.7</v>
      </c>
      <c r="F30" s="156">
        <v>0</v>
      </c>
      <c r="G30" s="4">
        <f t="shared" si="0"/>
        <v>0</v>
      </c>
      <c r="H30" s="156">
        <v>0</v>
      </c>
      <c r="I30" s="4">
        <f t="shared" si="1"/>
        <v>0</v>
      </c>
      <c r="J30" s="156">
        <v>0</v>
      </c>
      <c r="K30" s="157" t="s">
        <v>54</v>
      </c>
    </row>
    <row r="31" spans="1:11" ht="140" x14ac:dyDescent="0.35">
      <c r="A31" s="155" t="s">
        <v>79</v>
      </c>
      <c r="B31" s="156" t="s">
        <v>141</v>
      </c>
      <c r="C31" s="156" t="s">
        <v>15</v>
      </c>
      <c r="D31" s="156">
        <v>12</v>
      </c>
      <c r="E31" s="156">
        <v>5.2</v>
      </c>
      <c r="F31" s="156">
        <v>0.28000000000000003</v>
      </c>
      <c r="G31" s="4">
        <f t="shared" si="0"/>
        <v>1274.0000000000002</v>
      </c>
      <c r="H31" s="156">
        <v>0</v>
      </c>
      <c r="I31" s="4">
        <f t="shared" si="1"/>
        <v>0</v>
      </c>
      <c r="J31" s="156">
        <v>875</v>
      </c>
      <c r="K31" s="157" t="s">
        <v>57</v>
      </c>
    </row>
    <row r="32" spans="1:11" ht="140" x14ac:dyDescent="0.35">
      <c r="A32" s="155" t="s">
        <v>79</v>
      </c>
      <c r="B32" s="156" t="s">
        <v>141</v>
      </c>
      <c r="C32" s="156" t="s">
        <v>15</v>
      </c>
      <c r="D32" s="156">
        <v>13</v>
      </c>
      <c r="E32" s="156">
        <v>6</v>
      </c>
      <c r="F32" s="156">
        <v>0.28000000000000003</v>
      </c>
      <c r="G32" s="4">
        <f t="shared" si="0"/>
        <v>1470.0000000000002</v>
      </c>
      <c r="H32" s="156">
        <v>0</v>
      </c>
      <c r="I32" s="4">
        <f t="shared" si="1"/>
        <v>0</v>
      </c>
      <c r="J32" s="156">
        <v>875</v>
      </c>
      <c r="K32" s="157" t="s">
        <v>57</v>
      </c>
    </row>
    <row r="33" spans="1:11" ht="122.5" x14ac:dyDescent="0.35">
      <c r="A33" s="155" t="s">
        <v>50</v>
      </c>
      <c r="B33" s="156" t="s">
        <v>63</v>
      </c>
      <c r="C33" s="156" t="s">
        <v>52</v>
      </c>
      <c r="D33" s="156">
        <v>68</v>
      </c>
      <c r="E33" s="156">
        <v>1.5</v>
      </c>
      <c r="F33" s="156">
        <v>1.5</v>
      </c>
      <c r="G33" s="4">
        <f t="shared" si="0"/>
        <v>137.25</v>
      </c>
      <c r="H33" s="156">
        <v>0</v>
      </c>
      <c r="I33" s="4">
        <f t="shared" si="1"/>
        <v>0</v>
      </c>
      <c r="J33" s="156">
        <v>61</v>
      </c>
      <c r="K33" s="157" t="s">
        <v>54</v>
      </c>
    </row>
    <row r="34" spans="1:11" ht="122.5" x14ac:dyDescent="0.35">
      <c r="A34" s="155" t="s">
        <v>75</v>
      </c>
      <c r="B34" s="156" t="s">
        <v>63</v>
      </c>
      <c r="C34" s="156" t="s">
        <v>76</v>
      </c>
      <c r="D34" s="156">
        <v>98</v>
      </c>
      <c r="E34" s="156">
        <v>1.7</v>
      </c>
      <c r="F34" s="156">
        <v>1.5</v>
      </c>
      <c r="G34" s="4">
        <f t="shared" si="0"/>
        <v>84.15</v>
      </c>
      <c r="H34" s="156">
        <v>0</v>
      </c>
      <c r="I34" s="4">
        <f t="shared" si="1"/>
        <v>0</v>
      </c>
      <c r="J34" s="156">
        <v>33</v>
      </c>
      <c r="K34" s="157" t="s">
        <v>54</v>
      </c>
    </row>
    <row r="35" spans="1:11" ht="122.5" x14ac:dyDescent="0.35">
      <c r="A35" s="155" t="s">
        <v>59</v>
      </c>
      <c r="B35" s="156" t="s">
        <v>63</v>
      </c>
      <c r="C35" s="156" t="s">
        <v>61</v>
      </c>
      <c r="D35" s="156">
        <v>20</v>
      </c>
      <c r="E35" s="156">
        <v>0.5</v>
      </c>
      <c r="F35" s="156">
        <v>0</v>
      </c>
      <c r="G35" s="4">
        <f t="shared" si="0"/>
        <v>0</v>
      </c>
      <c r="H35" s="156">
        <v>0</v>
      </c>
      <c r="I35" s="4">
        <f t="shared" si="1"/>
        <v>0</v>
      </c>
      <c r="J35" s="156">
        <v>0</v>
      </c>
      <c r="K35" s="157" t="s">
        <v>54</v>
      </c>
    </row>
    <row r="36" spans="1:11" ht="122.5" x14ac:dyDescent="0.35">
      <c r="A36" s="155" t="s">
        <v>79</v>
      </c>
      <c r="B36" s="156" t="s">
        <v>63</v>
      </c>
      <c r="C36" s="156" t="s">
        <v>15</v>
      </c>
      <c r="D36" s="156">
        <v>12</v>
      </c>
      <c r="E36" s="156">
        <v>0</v>
      </c>
      <c r="F36" s="156">
        <v>0.28000000000000003</v>
      </c>
      <c r="G36" s="4">
        <f t="shared" si="0"/>
        <v>0</v>
      </c>
      <c r="H36" s="156">
        <v>0</v>
      </c>
      <c r="I36" s="4">
        <f t="shared" si="1"/>
        <v>0</v>
      </c>
      <c r="J36" s="156">
        <v>875</v>
      </c>
      <c r="K36" s="157" t="s">
        <v>57</v>
      </c>
    </row>
    <row r="37" spans="1:11" ht="122.5" x14ac:dyDescent="0.35">
      <c r="A37" s="155" t="s">
        <v>79</v>
      </c>
      <c r="B37" s="156" t="s">
        <v>63</v>
      </c>
      <c r="C37" s="156" t="s">
        <v>15</v>
      </c>
      <c r="D37" s="156">
        <v>13</v>
      </c>
      <c r="E37" s="156">
        <v>0</v>
      </c>
      <c r="F37" s="156">
        <v>0.28000000000000003</v>
      </c>
      <c r="G37" s="4">
        <f t="shared" si="0"/>
        <v>0</v>
      </c>
      <c r="H37" s="156">
        <v>0</v>
      </c>
      <c r="I37" s="4">
        <f t="shared" si="1"/>
        <v>0</v>
      </c>
      <c r="J37" s="156">
        <v>875</v>
      </c>
      <c r="K37" s="157" t="s">
        <v>57</v>
      </c>
    </row>
    <row r="38" spans="1:11" ht="105" x14ac:dyDescent="0.35">
      <c r="A38" s="155" t="s">
        <v>75</v>
      </c>
      <c r="B38" s="156" t="s">
        <v>139</v>
      </c>
      <c r="C38" s="156" t="s">
        <v>76</v>
      </c>
      <c r="D38" s="156">
        <v>98</v>
      </c>
      <c r="E38" s="156">
        <v>167</v>
      </c>
      <c r="F38" s="156">
        <v>1.5</v>
      </c>
      <c r="G38" s="4">
        <f t="shared" si="0"/>
        <v>8266.5</v>
      </c>
      <c r="H38" s="156">
        <v>0</v>
      </c>
      <c r="I38" s="4">
        <f t="shared" si="1"/>
        <v>0</v>
      </c>
      <c r="J38" s="156">
        <v>33</v>
      </c>
      <c r="K38" s="157" t="s">
        <v>54</v>
      </c>
    </row>
    <row r="39" spans="1:11" ht="105" x14ac:dyDescent="0.35">
      <c r="A39" s="155" t="s">
        <v>64</v>
      </c>
      <c r="B39" s="156" t="s">
        <v>139</v>
      </c>
      <c r="C39" s="156" t="s">
        <v>66</v>
      </c>
      <c r="D39" s="156">
        <v>30</v>
      </c>
      <c r="E39" s="156">
        <v>26.8</v>
      </c>
      <c r="F39" s="156">
        <v>0</v>
      </c>
      <c r="G39" s="4">
        <f t="shared" si="0"/>
        <v>0</v>
      </c>
      <c r="H39" s="156">
        <v>0</v>
      </c>
      <c r="I39" s="4">
        <f t="shared" si="1"/>
        <v>0</v>
      </c>
      <c r="J39" s="156">
        <v>0</v>
      </c>
      <c r="K39" s="157" t="s">
        <v>54</v>
      </c>
    </row>
    <row r="40" spans="1:11" ht="105" x14ac:dyDescent="0.35">
      <c r="A40" s="155" t="s">
        <v>79</v>
      </c>
      <c r="B40" s="156" t="s">
        <v>139</v>
      </c>
      <c r="C40" s="156" t="s">
        <v>15</v>
      </c>
      <c r="D40" s="156">
        <v>12</v>
      </c>
      <c r="E40" s="156">
        <v>19.8</v>
      </c>
      <c r="F40" s="156">
        <v>0.28000000000000003</v>
      </c>
      <c r="G40" s="4">
        <f t="shared" si="0"/>
        <v>4851.0000000000009</v>
      </c>
      <c r="H40" s="156">
        <v>0</v>
      </c>
      <c r="I40" s="4">
        <f t="shared" si="1"/>
        <v>0</v>
      </c>
      <c r="J40" s="156">
        <v>875</v>
      </c>
      <c r="K40" s="157" t="s">
        <v>57</v>
      </c>
    </row>
    <row r="41" spans="1:11" ht="105" x14ac:dyDescent="0.35">
      <c r="A41" s="155" t="s">
        <v>79</v>
      </c>
      <c r="B41" s="156" t="s">
        <v>139</v>
      </c>
      <c r="C41" s="156" t="s">
        <v>15</v>
      </c>
      <c r="D41" s="156">
        <v>13</v>
      </c>
      <c r="E41" s="156">
        <v>23.6</v>
      </c>
      <c r="F41" s="156">
        <v>0.28000000000000003</v>
      </c>
      <c r="G41" s="4">
        <f t="shared" si="0"/>
        <v>5782.0000000000009</v>
      </c>
      <c r="H41" s="156">
        <v>0</v>
      </c>
      <c r="I41" s="4">
        <f t="shared" si="1"/>
        <v>0</v>
      </c>
      <c r="J41" s="156">
        <v>875</v>
      </c>
      <c r="K41" s="157" t="s">
        <v>57</v>
      </c>
    </row>
    <row r="42" spans="1:11" ht="70" x14ac:dyDescent="0.35">
      <c r="A42" s="155" t="s">
        <v>95</v>
      </c>
      <c r="B42" s="156" t="s">
        <v>96</v>
      </c>
      <c r="C42" s="156" t="s">
        <v>30</v>
      </c>
      <c r="D42" s="156">
        <v>300</v>
      </c>
      <c r="E42" s="156">
        <v>3.8</v>
      </c>
      <c r="F42" s="156">
        <v>0.14000000000000001</v>
      </c>
      <c r="G42" s="4">
        <f t="shared" si="0"/>
        <v>1276.8000000000002</v>
      </c>
      <c r="H42" s="156">
        <v>0</v>
      </c>
      <c r="I42" s="4">
        <f t="shared" si="1"/>
        <v>0</v>
      </c>
      <c r="J42" s="156">
        <v>2400</v>
      </c>
      <c r="K42" s="157" t="s">
        <v>54</v>
      </c>
    </row>
    <row r="43" spans="1:11" ht="70" x14ac:dyDescent="0.35">
      <c r="A43" s="155" t="s">
        <v>95</v>
      </c>
      <c r="B43" s="156" t="s">
        <v>104</v>
      </c>
      <c r="C43" s="156" t="s">
        <v>30</v>
      </c>
      <c r="D43" s="156">
        <v>200</v>
      </c>
      <c r="E43" s="156">
        <v>16.3</v>
      </c>
      <c r="F43" s="156">
        <v>0.14000000000000001</v>
      </c>
      <c r="G43" s="4">
        <f t="shared" si="0"/>
        <v>5476.8</v>
      </c>
      <c r="H43" s="156">
        <v>0</v>
      </c>
      <c r="I43" s="4">
        <f t="shared" si="1"/>
        <v>0</v>
      </c>
      <c r="J43" s="156">
        <v>2400</v>
      </c>
      <c r="K43" s="157" t="s">
        <v>54</v>
      </c>
    </row>
    <row r="44" spans="1:11" ht="70" x14ac:dyDescent="0.35">
      <c r="A44" s="155" t="s">
        <v>101</v>
      </c>
      <c r="B44" s="156" t="s">
        <v>68</v>
      </c>
      <c r="C44" s="156" t="s">
        <v>4</v>
      </c>
      <c r="D44" s="156">
        <v>40</v>
      </c>
      <c r="E44" s="156">
        <v>77.5</v>
      </c>
      <c r="F44" s="156">
        <v>0.12</v>
      </c>
      <c r="G44" s="4">
        <f t="shared" si="0"/>
        <v>21622.5</v>
      </c>
      <c r="H44" s="156">
        <v>0</v>
      </c>
      <c r="I44" s="4">
        <f t="shared" si="1"/>
        <v>0</v>
      </c>
      <c r="J44" s="156">
        <v>2325</v>
      </c>
      <c r="K44" s="157" t="s">
        <v>57</v>
      </c>
    </row>
    <row r="45" spans="1:11" ht="70" x14ac:dyDescent="0.35">
      <c r="A45" s="155" t="s">
        <v>50</v>
      </c>
      <c r="B45" s="156" t="s">
        <v>68</v>
      </c>
      <c r="C45" s="156" t="s">
        <v>52</v>
      </c>
      <c r="D45" s="156">
        <v>30</v>
      </c>
      <c r="E45" s="156">
        <v>58.5</v>
      </c>
      <c r="F45" s="156">
        <v>1.5</v>
      </c>
      <c r="G45" s="4">
        <f t="shared" si="0"/>
        <v>5352.75</v>
      </c>
      <c r="H45" s="156">
        <v>0</v>
      </c>
      <c r="I45" s="4">
        <f t="shared" si="1"/>
        <v>0</v>
      </c>
      <c r="J45" s="156">
        <v>61</v>
      </c>
      <c r="K45" s="157" t="s">
        <v>57</v>
      </c>
    </row>
    <row r="46" spans="1:11" ht="70" x14ac:dyDescent="0.35">
      <c r="A46" s="155" t="s">
        <v>50</v>
      </c>
      <c r="B46" s="156" t="s">
        <v>68</v>
      </c>
      <c r="C46" s="156" t="s">
        <v>52</v>
      </c>
      <c r="D46" s="156">
        <v>100</v>
      </c>
      <c r="E46" s="156">
        <v>162.69999999999999</v>
      </c>
      <c r="F46" s="156">
        <v>1.5</v>
      </c>
      <c r="G46" s="4">
        <f t="shared" si="0"/>
        <v>14887.05</v>
      </c>
      <c r="H46" s="156">
        <v>0</v>
      </c>
      <c r="I46" s="4">
        <f t="shared" si="1"/>
        <v>0</v>
      </c>
      <c r="J46" s="156">
        <v>61</v>
      </c>
      <c r="K46" s="157" t="s">
        <v>54</v>
      </c>
    </row>
    <row r="47" spans="1:11" ht="70" x14ac:dyDescent="0.35">
      <c r="A47" s="155" t="s">
        <v>64</v>
      </c>
      <c r="B47" s="156" t="s">
        <v>68</v>
      </c>
      <c r="C47" s="156" t="s">
        <v>66</v>
      </c>
      <c r="D47" s="156">
        <v>23</v>
      </c>
      <c r="E47" s="156">
        <v>45.4</v>
      </c>
      <c r="F47" s="156">
        <v>0</v>
      </c>
      <c r="G47" s="4">
        <f t="shared" si="0"/>
        <v>0</v>
      </c>
      <c r="H47" s="156">
        <v>0</v>
      </c>
      <c r="I47" s="4">
        <f t="shared" si="1"/>
        <v>0</v>
      </c>
      <c r="J47" s="156">
        <v>0</v>
      </c>
      <c r="K47" s="157" t="s">
        <v>54</v>
      </c>
    </row>
    <row r="48" spans="1:11" ht="70" x14ac:dyDescent="0.35">
      <c r="A48" s="155" t="s">
        <v>59</v>
      </c>
      <c r="B48" s="156" t="s">
        <v>68</v>
      </c>
      <c r="C48" s="156" t="s">
        <v>61</v>
      </c>
      <c r="D48" s="156">
        <v>200</v>
      </c>
      <c r="E48" s="156">
        <v>320</v>
      </c>
      <c r="F48" s="156">
        <v>0</v>
      </c>
      <c r="G48" s="4">
        <f t="shared" si="0"/>
        <v>0</v>
      </c>
      <c r="H48" s="156">
        <v>0</v>
      </c>
      <c r="I48" s="4">
        <f t="shared" si="1"/>
        <v>0</v>
      </c>
      <c r="J48" s="156">
        <v>0</v>
      </c>
      <c r="K48" s="157" t="s">
        <v>54</v>
      </c>
    </row>
    <row r="49" spans="1:11" ht="70" x14ac:dyDescent="0.35">
      <c r="A49" s="155" t="s">
        <v>144</v>
      </c>
      <c r="B49" s="156" t="s">
        <v>68</v>
      </c>
      <c r="C49" s="156" t="s">
        <v>14</v>
      </c>
      <c r="D49" s="156">
        <v>0</v>
      </c>
      <c r="E49" s="156">
        <v>0</v>
      </c>
      <c r="F49" s="156">
        <v>3.1</v>
      </c>
      <c r="G49" s="4">
        <f t="shared" si="0"/>
        <v>0</v>
      </c>
      <c r="H49" s="156">
        <v>0</v>
      </c>
      <c r="I49" s="4">
        <f t="shared" si="1"/>
        <v>0</v>
      </c>
      <c r="J49" s="156">
        <v>925</v>
      </c>
      <c r="K49" s="157" t="s">
        <v>54</v>
      </c>
    </row>
    <row r="50" spans="1:11" ht="70" x14ac:dyDescent="0.35">
      <c r="A50" s="155" t="s">
        <v>79</v>
      </c>
      <c r="B50" s="156" t="s">
        <v>68</v>
      </c>
      <c r="C50" s="156" t="s">
        <v>15</v>
      </c>
      <c r="D50" s="156">
        <v>25</v>
      </c>
      <c r="E50" s="156">
        <v>47.1</v>
      </c>
      <c r="F50" s="156">
        <v>0.28000000000000003</v>
      </c>
      <c r="G50" s="4">
        <f t="shared" si="0"/>
        <v>11539.500000000002</v>
      </c>
      <c r="H50" s="156">
        <v>0</v>
      </c>
      <c r="I50" s="4">
        <f t="shared" si="1"/>
        <v>0</v>
      </c>
      <c r="J50" s="156">
        <v>875</v>
      </c>
      <c r="K50" s="157" t="s">
        <v>54</v>
      </c>
    </row>
    <row r="51" spans="1:11" ht="70" x14ac:dyDescent="0.35">
      <c r="A51" s="155" t="s">
        <v>149</v>
      </c>
      <c r="B51" s="156" t="s">
        <v>68</v>
      </c>
      <c r="C51" s="156" t="s">
        <v>34</v>
      </c>
      <c r="D51" s="156">
        <v>18</v>
      </c>
      <c r="E51" s="156">
        <v>35.200000000000003</v>
      </c>
      <c r="F51" s="156">
        <v>0.41</v>
      </c>
      <c r="G51" s="4">
        <f t="shared" si="0"/>
        <v>7360.32</v>
      </c>
      <c r="H51" s="156">
        <v>1.6</v>
      </c>
      <c r="I51" s="4">
        <f t="shared" si="1"/>
        <v>28723.200000000001</v>
      </c>
      <c r="J51" s="156">
        <v>510</v>
      </c>
      <c r="K51" s="157" t="s">
        <v>57</v>
      </c>
    </row>
    <row r="52" spans="1:11" ht="35" x14ac:dyDescent="0.35">
      <c r="A52" s="155" t="s">
        <v>101</v>
      </c>
      <c r="B52" s="156" t="s">
        <v>150</v>
      </c>
      <c r="C52" s="156" t="s">
        <v>4</v>
      </c>
      <c r="D52" s="156">
        <v>300</v>
      </c>
      <c r="E52" s="156">
        <v>16.600000000000001</v>
      </c>
      <c r="F52" s="156">
        <v>0.12</v>
      </c>
      <c r="G52" s="4">
        <f t="shared" si="0"/>
        <v>4631.3999999999996</v>
      </c>
      <c r="H52" s="156">
        <v>0</v>
      </c>
      <c r="I52" s="4">
        <f t="shared" si="1"/>
        <v>0</v>
      </c>
      <c r="J52" s="156">
        <v>2325</v>
      </c>
      <c r="K52" s="157" t="s">
        <v>57</v>
      </c>
    </row>
    <row r="53" spans="1:11" ht="70" x14ac:dyDescent="0.35">
      <c r="A53" s="155" t="s">
        <v>95</v>
      </c>
      <c r="B53" s="156" t="s">
        <v>146</v>
      </c>
      <c r="C53" s="156" t="s">
        <v>31</v>
      </c>
      <c r="D53" s="156">
        <v>270</v>
      </c>
      <c r="E53" s="156">
        <v>88.3</v>
      </c>
      <c r="F53" s="156">
        <v>0.17</v>
      </c>
      <c r="G53" s="4">
        <f t="shared" si="0"/>
        <v>21165.510000000002</v>
      </c>
      <c r="H53" s="156">
        <v>0</v>
      </c>
      <c r="I53" s="4">
        <f t="shared" si="1"/>
        <v>0</v>
      </c>
      <c r="J53" s="156">
        <v>1410</v>
      </c>
      <c r="K53" s="157" t="s">
        <v>57</v>
      </c>
    </row>
    <row r="54" spans="1:11" ht="52.5" x14ac:dyDescent="0.35">
      <c r="A54" s="155" t="s">
        <v>90</v>
      </c>
      <c r="B54" s="156" t="s">
        <v>91</v>
      </c>
      <c r="C54" s="156" t="s">
        <v>22</v>
      </c>
      <c r="D54" s="156">
        <v>25</v>
      </c>
      <c r="E54" s="156">
        <v>14.8</v>
      </c>
      <c r="F54" s="156">
        <v>0.09</v>
      </c>
      <c r="G54" s="4">
        <f t="shared" si="0"/>
        <v>631.36800000000005</v>
      </c>
      <c r="H54" s="156">
        <v>1.6</v>
      </c>
      <c r="I54" s="4">
        <f t="shared" si="1"/>
        <v>11224.320000000002</v>
      </c>
      <c r="J54" s="156">
        <v>474</v>
      </c>
      <c r="K54" s="157" t="s">
        <v>54</v>
      </c>
    </row>
    <row r="55" spans="1:11" ht="52.5" x14ac:dyDescent="0.35">
      <c r="A55" s="155" t="s">
        <v>94</v>
      </c>
      <c r="B55" s="156" t="s">
        <v>91</v>
      </c>
      <c r="C55" s="156" t="s">
        <v>28</v>
      </c>
      <c r="D55" s="156">
        <v>2</v>
      </c>
      <c r="E55" s="156">
        <v>1.2</v>
      </c>
      <c r="F55" s="156">
        <v>3.1</v>
      </c>
      <c r="G55" s="4">
        <f t="shared" si="0"/>
        <v>29202</v>
      </c>
      <c r="H55" s="156">
        <v>1.5</v>
      </c>
      <c r="I55" s="4">
        <f t="shared" si="1"/>
        <v>14130</v>
      </c>
      <c r="J55" s="156">
        <v>7850</v>
      </c>
      <c r="K55" s="157" t="s">
        <v>54</v>
      </c>
    </row>
    <row r="56" spans="1:11" ht="122.5" x14ac:dyDescent="0.35">
      <c r="A56" s="155" t="s">
        <v>55</v>
      </c>
      <c r="B56" s="156" t="s">
        <v>88</v>
      </c>
      <c r="C56" s="156" t="s">
        <v>56</v>
      </c>
      <c r="D56" s="156">
        <v>100</v>
      </c>
      <c r="E56" s="156">
        <v>5.9</v>
      </c>
      <c r="F56" s="156">
        <v>0.12</v>
      </c>
      <c r="G56" s="4">
        <f t="shared" si="0"/>
        <v>1646.1</v>
      </c>
      <c r="H56" s="156">
        <v>0</v>
      </c>
      <c r="I56" s="4">
        <f t="shared" si="1"/>
        <v>0</v>
      </c>
      <c r="J56" s="156">
        <v>2325</v>
      </c>
      <c r="K56" s="157" t="s">
        <v>57</v>
      </c>
    </row>
    <row r="57" spans="1:11" ht="122.5" x14ac:dyDescent="0.35">
      <c r="A57" s="155" t="s">
        <v>50</v>
      </c>
      <c r="B57" s="156" t="s">
        <v>88</v>
      </c>
      <c r="C57" s="156" t="s">
        <v>52</v>
      </c>
      <c r="D57" s="156">
        <v>140</v>
      </c>
      <c r="E57" s="156">
        <v>8.1999999999999993</v>
      </c>
      <c r="F57" s="156">
        <v>1.5</v>
      </c>
      <c r="G57" s="4">
        <f t="shared" si="0"/>
        <v>750.3</v>
      </c>
      <c r="H57" s="156">
        <v>0</v>
      </c>
      <c r="I57" s="4">
        <f t="shared" si="1"/>
        <v>0</v>
      </c>
      <c r="J57" s="156">
        <v>61</v>
      </c>
      <c r="K57" s="157" t="s">
        <v>54</v>
      </c>
    </row>
    <row r="58" spans="1:11" ht="122.5" x14ac:dyDescent="0.35">
      <c r="A58" s="155" t="s">
        <v>58</v>
      </c>
      <c r="B58" s="156" t="s">
        <v>88</v>
      </c>
      <c r="C58" s="156" t="s">
        <v>32</v>
      </c>
      <c r="D58" s="156">
        <v>300</v>
      </c>
      <c r="E58" s="156">
        <v>16.8</v>
      </c>
      <c r="F58" s="156">
        <v>0.19</v>
      </c>
      <c r="G58" s="4">
        <f t="shared" si="0"/>
        <v>7660.8</v>
      </c>
      <c r="H58" s="156">
        <v>0</v>
      </c>
      <c r="I58" s="4">
        <f t="shared" si="1"/>
        <v>0</v>
      </c>
      <c r="J58" s="156">
        <v>2400</v>
      </c>
      <c r="K58" s="157" t="s">
        <v>54</v>
      </c>
    </row>
    <row r="59" spans="1:11" ht="105" x14ac:dyDescent="0.35">
      <c r="A59" s="155" t="s">
        <v>55</v>
      </c>
      <c r="B59" s="156" t="s">
        <v>51</v>
      </c>
      <c r="C59" s="156" t="s">
        <v>56</v>
      </c>
      <c r="D59" s="156">
        <v>70</v>
      </c>
      <c r="E59" s="156">
        <v>0</v>
      </c>
      <c r="F59" s="156">
        <v>0.12</v>
      </c>
      <c r="G59" s="4">
        <f t="shared" si="0"/>
        <v>0</v>
      </c>
      <c r="H59" s="156">
        <v>0</v>
      </c>
      <c r="I59" s="4">
        <f t="shared" si="1"/>
        <v>0</v>
      </c>
      <c r="J59" s="156">
        <v>2325</v>
      </c>
      <c r="K59" s="157" t="s">
        <v>57</v>
      </c>
    </row>
    <row r="60" spans="1:11" ht="105" x14ac:dyDescent="0.35">
      <c r="A60" s="155" t="s">
        <v>50</v>
      </c>
      <c r="B60" s="156" t="s">
        <v>51</v>
      </c>
      <c r="C60" s="156" t="s">
        <v>52</v>
      </c>
      <c r="D60" s="156">
        <v>250</v>
      </c>
      <c r="E60" s="156">
        <v>0</v>
      </c>
      <c r="F60" s="156">
        <v>1.5</v>
      </c>
      <c r="G60" s="4">
        <f t="shared" si="0"/>
        <v>0</v>
      </c>
      <c r="H60" s="156">
        <v>0</v>
      </c>
      <c r="I60" s="4">
        <f t="shared" si="1"/>
        <v>0</v>
      </c>
      <c r="J60" s="156">
        <v>61</v>
      </c>
      <c r="K60" s="157" t="s">
        <v>54</v>
      </c>
    </row>
    <row r="61" spans="1:11" ht="105" x14ac:dyDescent="0.35">
      <c r="A61" s="155" t="s">
        <v>58</v>
      </c>
      <c r="B61" s="156" t="s">
        <v>51</v>
      </c>
      <c r="C61" s="156" t="s">
        <v>32</v>
      </c>
      <c r="D61" s="156">
        <v>150</v>
      </c>
      <c r="E61" s="156">
        <v>0</v>
      </c>
      <c r="F61" s="156">
        <v>0.19</v>
      </c>
      <c r="G61" s="4">
        <f t="shared" si="0"/>
        <v>0</v>
      </c>
      <c r="H61" s="156">
        <v>0</v>
      </c>
      <c r="I61" s="4">
        <f t="shared" si="1"/>
        <v>0</v>
      </c>
      <c r="J61" s="156">
        <v>2400</v>
      </c>
      <c r="K61" s="157" t="s">
        <v>54</v>
      </c>
    </row>
    <row r="62" spans="1:11" ht="87.5" x14ac:dyDescent="0.35">
      <c r="A62" s="155" t="s">
        <v>50</v>
      </c>
      <c r="B62" s="156" t="s">
        <v>140</v>
      </c>
      <c r="C62" s="156" t="s">
        <v>52</v>
      </c>
      <c r="D62" s="156">
        <v>50</v>
      </c>
      <c r="E62" s="156">
        <v>55</v>
      </c>
      <c r="F62" s="156">
        <v>1.5</v>
      </c>
      <c r="G62" s="4">
        <f t="shared" si="0"/>
        <v>5032.5</v>
      </c>
      <c r="H62" s="156">
        <v>0</v>
      </c>
      <c r="I62" s="4">
        <f t="shared" si="1"/>
        <v>0</v>
      </c>
      <c r="J62" s="156">
        <v>61</v>
      </c>
      <c r="K62" s="157" t="s">
        <v>54</v>
      </c>
    </row>
    <row r="63" spans="1:11" ht="87.5" x14ac:dyDescent="0.35">
      <c r="A63" s="155" t="s">
        <v>75</v>
      </c>
      <c r="B63" s="156" t="s">
        <v>140</v>
      </c>
      <c r="C63" s="156" t="s">
        <v>76</v>
      </c>
      <c r="D63" s="156">
        <v>200</v>
      </c>
      <c r="E63" s="156">
        <v>182</v>
      </c>
      <c r="F63" s="156">
        <v>1.5</v>
      </c>
      <c r="G63" s="4">
        <f t="shared" si="0"/>
        <v>9009</v>
      </c>
      <c r="H63" s="156">
        <v>0</v>
      </c>
      <c r="I63" s="4">
        <f t="shared" si="1"/>
        <v>0</v>
      </c>
      <c r="J63" s="156">
        <v>33</v>
      </c>
      <c r="K63" s="157" t="s">
        <v>54</v>
      </c>
    </row>
    <row r="64" spans="1:11" ht="87.5" x14ac:dyDescent="0.35">
      <c r="A64" s="155" t="s">
        <v>59</v>
      </c>
      <c r="B64" s="156" t="s">
        <v>140</v>
      </c>
      <c r="C64" s="156" t="s">
        <v>61</v>
      </c>
      <c r="D64" s="156">
        <v>32</v>
      </c>
      <c r="E64" s="156">
        <v>35</v>
      </c>
      <c r="F64" s="156">
        <v>0</v>
      </c>
      <c r="G64" s="4">
        <f t="shared" si="0"/>
        <v>0</v>
      </c>
      <c r="H64" s="156">
        <v>0</v>
      </c>
      <c r="I64" s="4">
        <f t="shared" si="1"/>
        <v>0</v>
      </c>
      <c r="J64" s="156">
        <v>0</v>
      </c>
      <c r="K64" s="157" t="s">
        <v>57</v>
      </c>
    </row>
    <row r="65" spans="1:11" ht="87.5" x14ac:dyDescent="0.35">
      <c r="A65" s="155" t="s">
        <v>147</v>
      </c>
      <c r="B65" s="156" t="s">
        <v>140</v>
      </c>
      <c r="C65" s="156" t="s">
        <v>148</v>
      </c>
      <c r="D65" s="156">
        <v>0</v>
      </c>
      <c r="E65" s="156">
        <v>0</v>
      </c>
      <c r="F65" s="156">
        <v>0</v>
      </c>
      <c r="G65" s="4">
        <f t="shared" si="0"/>
        <v>0</v>
      </c>
      <c r="H65" s="156">
        <v>0</v>
      </c>
      <c r="I65" s="4">
        <f t="shared" si="1"/>
        <v>0</v>
      </c>
      <c r="J65" s="156">
        <v>0</v>
      </c>
      <c r="K65" s="157" t="s">
        <v>54</v>
      </c>
    </row>
    <row r="66" spans="1:11" ht="87.5" x14ac:dyDescent="0.35">
      <c r="A66" s="155" t="s">
        <v>79</v>
      </c>
      <c r="B66" s="156" t="s">
        <v>140</v>
      </c>
      <c r="C66" s="156" t="s">
        <v>15</v>
      </c>
      <c r="D66" s="156">
        <v>12</v>
      </c>
      <c r="E66" s="156">
        <v>10.4</v>
      </c>
      <c r="F66" s="156">
        <v>0.28000000000000003</v>
      </c>
      <c r="G66" s="4">
        <f t="shared" si="0"/>
        <v>2548.0000000000005</v>
      </c>
      <c r="H66" s="156">
        <v>0</v>
      </c>
      <c r="I66" s="4">
        <f t="shared" si="1"/>
        <v>0</v>
      </c>
      <c r="J66" s="156">
        <v>875</v>
      </c>
      <c r="K66" s="157" t="s">
        <v>57</v>
      </c>
    </row>
    <row r="67" spans="1:11" ht="87.5" x14ac:dyDescent="0.35">
      <c r="A67" s="155" t="s">
        <v>79</v>
      </c>
      <c r="B67" s="156" t="s">
        <v>140</v>
      </c>
      <c r="C67" s="156" t="s">
        <v>15</v>
      </c>
      <c r="D67" s="156">
        <v>13</v>
      </c>
      <c r="E67" s="156">
        <v>11.4</v>
      </c>
      <c r="F67" s="156">
        <v>0.28000000000000003</v>
      </c>
      <c r="G67" s="4">
        <f t="shared" si="0"/>
        <v>2793.0000000000005</v>
      </c>
      <c r="H67" s="156">
        <v>0</v>
      </c>
      <c r="I67" s="4">
        <f t="shared" si="1"/>
        <v>0</v>
      </c>
      <c r="J67" s="156">
        <v>875</v>
      </c>
      <c r="K67" s="157" t="s">
        <v>57</v>
      </c>
    </row>
    <row r="68" spans="1:11" ht="87.5" x14ac:dyDescent="0.35">
      <c r="A68" s="155" t="s">
        <v>78</v>
      </c>
      <c r="B68" s="156" t="s">
        <v>140</v>
      </c>
      <c r="C68" s="156" t="s">
        <v>26</v>
      </c>
      <c r="D68" s="156">
        <v>28</v>
      </c>
      <c r="E68" s="156">
        <v>31</v>
      </c>
      <c r="F68" s="156">
        <v>0.09</v>
      </c>
      <c r="G68" s="4">
        <f t="shared" si="0"/>
        <v>1322.46</v>
      </c>
      <c r="H68" s="156">
        <v>1.6</v>
      </c>
      <c r="I68" s="4">
        <f t="shared" si="1"/>
        <v>23510.400000000001</v>
      </c>
      <c r="J68" s="156">
        <v>474</v>
      </c>
      <c r="K68" s="157" t="s">
        <v>57</v>
      </c>
    </row>
    <row r="69" spans="1:11" ht="87.5" x14ac:dyDescent="0.35">
      <c r="A69" s="155" t="s">
        <v>149</v>
      </c>
      <c r="B69" s="156" t="s">
        <v>140</v>
      </c>
      <c r="C69" s="156" t="s">
        <v>34</v>
      </c>
      <c r="D69" s="156">
        <v>12</v>
      </c>
      <c r="E69" s="156">
        <v>10</v>
      </c>
      <c r="F69" s="156">
        <v>0.41</v>
      </c>
      <c r="G69" s="4">
        <f t="shared" si="0"/>
        <v>2091</v>
      </c>
      <c r="H69" s="156">
        <v>1.6</v>
      </c>
      <c r="I69" s="4">
        <f t="shared" si="1"/>
        <v>8160</v>
      </c>
      <c r="J69" s="156">
        <v>510</v>
      </c>
      <c r="K69" s="157" t="s">
        <v>57</v>
      </c>
    </row>
    <row r="70" spans="1:11" ht="52.5" x14ac:dyDescent="0.35">
      <c r="A70" s="155" t="s">
        <v>70</v>
      </c>
      <c r="B70" s="156" t="s">
        <v>138</v>
      </c>
      <c r="C70" s="156" t="s">
        <v>71</v>
      </c>
      <c r="D70" s="156">
        <v>12</v>
      </c>
      <c r="E70" s="156">
        <v>0.8</v>
      </c>
      <c r="F70" s="156">
        <v>1.02</v>
      </c>
      <c r="G70" s="4">
        <f t="shared" si="0"/>
        <v>48.96</v>
      </c>
      <c r="H70" s="156">
        <v>1.1000000000000001</v>
      </c>
      <c r="I70" s="4">
        <f t="shared" si="1"/>
        <v>52.800000000000004</v>
      </c>
      <c r="J70" s="156">
        <v>60</v>
      </c>
      <c r="K70" s="157" t="s">
        <v>54</v>
      </c>
    </row>
    <row r="71" spans="1:11" ht="52.5" x14ac:dyDescent="0.35">
      <c r="A71" s="155" t="s">
        <v>64</v>
      </c>
      <c r="B71" s="156" t="s">
        <v>138</v>
      </c>
      <c r="C71" s="156" t="s">
        <v>66</v>
      </c>
      <c r="D71" s="156">
        <v>36</v>
      </c>
      <c r="E71" s="156">
        <v>2.2000000000000002</v>
      </c>
      <c r="F71" s="156">
        <v>0</v>
      </c>
      <c r="G71" s="4">
        <f t="shared" si="0"/>
        <v>0</v>
      </c>
      <c r="H71" s="156">
        <v>0</v>
      </c>
      <c r="I71" s="4">
        <f t="shared" si="1"/>
        <v>0</v>
      </c>
      <c r="J71" s="156">
        <v>0</v>
      </c>
      <c r="K71" s="157" t="s">
        <v>54</v>
      </c>
    </row>
    <row r="72" spans="1:11" ht="52.5" x14ac:dyDescent="0.35">
      <c r="A72" s="155" t="s">
        <v>78</v>
      </c>
      <c r="B72" s="156" t="s">
        <v>138</v>
      </c>
      <c r="C72" s="156" t="s">
        <v>26</v>
      </c>
      <c r="D72" s="156">
        <v>28</v>
      </c>
      <c r="E72" s="156">
        <v>1.6</v>
      </c>
      <c r="F72" s="156">
        <v>0.09</v>
      </c>
      <c r="G72" s="4">
        <f t="shared" ref="G72:G92" si="2">(E72*J72)*F72</f>
        <v>68.256</v>
      </c>
      <c r="H72" s="156">
        <v>1.6</v>
      </c>
      <c r="I72" s="4">
        <f t="shared" ref="I72:I92" si="3">(E72*J72)*H72</f>
        <v>1213.4400000000003</v>
      </c>
      <c r="J72" s="156">
        <v>474</v>
      </c>
      <c r="K72" s="157" t="s">
        <v>54</v>
      </c>
    </row>
    <row r="73" spans="1:11" ht="70" x14ac:dyDescent="0.35">
      <c r="A73" s="155" t="s">
        <v>95</v>
      </c>
      <c r="B73" s="156" t="s">
        <v>106</v>
      </c>
      <c r="C73" s="156" t="s">
        <v>30</v>
      </c>
      <c r="D73" s="156">
        <v>440</v>
      </c>
      <c r="E73" s="156">
        <v>31.6</v>
      </c>
      <c r="F73" s="156">
        <v>0.14000000000000001</v>
      </c>
      <c r="G73" s="4">
        <f t="shared" si="2"/>
        <v>10617.6</v>
      </c>
      <c r="H73" s="156">
        <v>0</v>
      </c>
      <c r="I73" s="4">
        <f t="shared" si="3"/>
        <v>0</v>
      </c>
      <c r="J73" s="156">
        <v>2400</v>
      </c>
      <c r="K73" s="157" t="s">
        <v>54</v>
      </c>
    </row>
    <row r="74" spans="1:11" ht="52.5" x14ac:dyDescent="0.35">
      <c r="A74" s="155" t="s">
        <v>72</v>
      </c>
      <c r="B74" s="156" t="s">
        <v>77</v>
      </c>
      <c r="C74" s="156" t="s">
        <v>74</v>
      </c>
      <c r="D74" s="156">
        <v>140</v>
      </c>
      <c r="E74" s="156">
        <v>37.6</v>
      </c>
      <c r="F74" s="156">
        <v>1.5</v>
      </c>
      <c r="G74" s="4">
        <f t="shared" si="2"/>
        <v>3440.3999999999996</v>
      </c>
      <c r="H74" s="156">
        <v>0</v>
      </c>
      <c r="I74" s="4">
        <f t="shared" si="3"/>
        <v>0</v>
      </c>
      <c r="J74" s="156">
        <v>61</v>
      </c>
      <c r="K74" s="157" t="s">
        <v>54</v>
      </c>
    </row>
    <row r="75" spans="1:11" ht="70" x14ac:dyDescent="0.35">
      <c r="A75" s="155" t="s">
        <v>95</v>
      </c>
      <c r="B75" s="156" t="s">
        <v>77</v>
      </c>
      <c r="C75" s="156" t="s">
        <v>30</v>
      </c>
      <c r="D75" s="156">
        <v>100</v>
      </c>
      <c r="E75" s="156">
        <v>27.1</v>
      </c>
      <c r="F75" s="156">
        <v>0.14000000000000001</v>
      </c>
      <c r="G75" s="4">
        <f t="shared" si="2"/>
        <v>9105.6</v>
      </c>
      <c r="H75" s="156">
        <v>0</v>
      </c>
      <c r="I75" s="4">
        <f t="shared" si="3"/>
        <v>0</v>
      </c>
      <c r="J75" s="156">
        <v>2400</v>
      </c>
      <c r="K75" s="157" t="s">
        <v>54</v>
      </c>
    </row>
    <row r="76" spans="1:11" ht="70" x14ac:dyDescent="0.35">
      <c r="A76" s="155" t="s">
        <v>95</v>
      </c>
      <c r="B76" s="156" t="s">
        <v>77</v>
      </c>
      <c r="C76" s="156" t="s">
        <v>30</v>
      </c>
      <c r="D76" s="156">
        <v>200</v>
      </c>
      <c r="E76" s="156">
        <v>52.7</v>
      </c>
      <c r="F76" s="156">
        <v>0.14000000000000001</v>
      </c>
      <c r="G76" s="4">
        <f t="shared" si="2"/>
        <v>17707.2</v>
      </c>
      <c r="H76" s="156">
        <v>0</v>
      </c>
      <c r="I76" s="4">
        <f t="shared" si="3"/>
        <v>0</v>
      </c>
      <c r="J76" s="156">
        <v>2400</v>
      </c>
      <c r="K76" s="157" t="s">
        <v>54</v>
      </c>
    </row>
    <row r="77" spans="1:11" ht="87.5" x14ac:dyDescent="0.35">
      <c r="A77" s="155" t="s">
        <v>55</v>
      </c>
      <c r="B77" s="156" t="s">
        <v>143</v>
      </c>
      <c r="C77" s="156" t="s">
        <v>56</v>
      </c>
      <c r="D77" s="156">
        <v>150</v>
      </c>
      <c r="E77" s="156">
        <v>8.3000000000000007</v>
      </c>
      <c r="F77" s="156">
        <v>0.12</v>
      </c>
      <c r="G77" s="4">
        <f t="shared" si="2"/>
        <v>2315.6999999999998</v>
      </c>
      <c r="H77" s="156">
        <v>0</v>
      </c>
      <c r="I77" s="4">
        <f t="shared" si="3"/>
        <v>0</v>
      </c>
      <c r="J77" s="156">
        <v>2325</v>
      </c>
      <c r="K77" s="157" t="s">
        <v>57</v>
      </c>
    </row>
    <row r="78" spans="1:11" ht="87.5" x14ac:dyDescent="0.35">
      <c r="A78" s="155" t="s">
        <v>72</v>
      </c>
      <c r="B78" s="156" t="s">
        <v>143</v>
      </c>
      <c r="C78" s="156" t="s">
        <v>74</v>
      </c>
      <c r="D78" s="156">
        <v>250</v>
      </c>
      <c r="E78" s="156">
        <v>13.9</v>
      </c>
      <c r="F78" s="156">
        <v>1.5</v>
      </c>
      <c r="G78" s="4">
        <f t="shared" si="2"/>
        <v>1271.8499999999999</v>
      </c>
      <c r="H78" s="156">
        <v>0</v>
      </c>
      <c r="I78" s="4">
        <f t="shared" si="3"/>
        <v>0</v>
      </c>
      <c r="J78" s="156">
        <v>61</v>
      </c>
      <c r="K78" s="157" t="s">
        <v>54</v>
      </c>
    </row>
    <row r="79" spans="1:11" ht="52.5" x14ac:dyDescent="0.35">
      <c r="A79" s="155" t="s">
        <v>55</v>
      </c>
      <c r="B79" s="156" t="s">
        <v>84</v>
      </c>
      <c r="C79" s="156" t="s">
        <v>56</v>
      </c>
      <c r="D79" s="156">
        <v>100</v>
      </c>
      <c r="E79" s="156">
        <v>34.700000000000003</v>
      </c>
      <c r="F79" s="156">
        <v>0.12</v>
      </c>
      <c r="G79" s="4">
        <f t="shared" si="2"/>
        <v>9681.2999999999993</v>
      </c>
      <c r="H79" s="156">
        <v>0</v>
      </c>
      <c r="I79" s="4">
        <f t="shared" si="3"/>
        <v>0</v>
      </c>
      <c r="J79" s="156">
        <v>2325</v>
      </c>
      <c r="K79" s="157" t="s">
        <v>57</v>
      </c>
    </row>
    <row r="80" spans="1:11" ht="52.5" x14ac:dyDescent="0.35">
      <c r="A80" s="155" t="s">
        <v>72</v>
      </c>
      <c r="B80" s="156" t="s">
        <v>84</v>
      </c>
      <c r="C80" s="156" t="s">
        <v>74</v>
      </c>
      <c r="D80" s="156">
        <v>300</v>
      </c>
      <c r="E80" s="156">
        <v>104.4</v>
      </c>
      <c r="F80" s="156">
        <v>1.5</v>
      </c>
      <c r="G80" s="4">
        <f t="shared" si="2"/>
        <v>9552.6</v>
      </c>
      <c r="H80" s="156">
        <v>0</v>
      </c>
      <c r="I80" s="4">
        <f t="shared" si="3"/>
        <v>0</v>
      </c>
      <c r="J80" s="156">
        <v>61</v>
      </c>
      <c r="K80" s="157" t="s">
        <v>54</v>
      </c>
    </row>
    <row r="81" spans="1:11" ht="52.5" x14ac:dyDescent="0.35">
      <c r="A81" s="155" t="s">
        <v>55</v>
      </c>
      <c r="B81" s="156" t="s">
        <v>166</v>
      </c>
      <c r="C81" s="156" t="s">
        <v>56</v>
      </c>
      <c r="D81" s="156">
        <v>740</v>
      </c>
      <c r="E81" s="156">
        <v>40.799999999999997</v>
      </c>
      <c r="F81" s="156">
        <v>0.12</v>
      </c>
      <c r="G81" s="4">
        <f t="shared" si="2"/>
        <v>11383.199999999999</v>
      </c>
      <c r="H81" s="156">
        <v>0</v>
      </c>
      <c r="I81" s="4">
        <f t="shared" si="3"/>
        <v>0</v>
      </c>
      <c r="J81" s="156">
        <v>2325</v>
      </c>
      <c r="K81" s="157" t="s">
        <v>54</v>
      </c>
    </row>
    <row r="82" spans="1:11" ht="70" x14ac:dyDescent="0.35">
      <c r="A82" s="155" t="s">
        <v>58</v>
      </c>
      <c r="B82" s="156" t="s">
        <v>166</v>
      </c>
      <c r="C82" s="156" t="s">
        <v>32</v>
      </c>
      <c r="D82" s="156">
        <v>540</v>
      </c>
      <c r="E82" s="156">
        <v>35.200000000000003</v>
      </c>
      <c r="F82" s="156">
        <v>0.19</v>
      </c>
      <c r="G82" s="4">
        <f t="shared" si="2"/>
        <v>16051.2</v>
      </c>
      <c r="H82" s="156">
        <v>0</v>
      </c>
      <c r="I82" s="4">
        <f t="shared" si="3"/>
        <v>0</v>
      </c>
      <c r="J82" s="156">
        <v>2400</v>
      </c>
      <c r="K82" s="157" t="s">
        <v>54</v>
      </c>
    </row>
    <row r="83" spans="1:11" ht="52.5" x14ac:dyDescent="0.35">
      <c r="A83" s="155" t="s">
        <v>55</v>
      </c>
      <c r="B83" s="156" t="s">
        <v>82</v>
      </c>
      <c r="C83" s="156" t="s">
        <v>56</v>
      </c>
      <c r="D83" s="156" t="s">
        <v>82</v>
      </c>
      <c r="E83" s="156">
        <v>22</v>
      </c>
      <c r="F83" s="156">
        <v>0.12</v>
      </c>
      <c r="G83" s="4">
        <f t="shared" si="2"/>
        <v>6138</v>
      </c>
      <c r="H83" s="156">
        <v>0</v>
      </c>
      <c r="I83" s="4">
        <f t="shared" si="3"/>
        <v>0</v>
      </c>
      <c r="J83" s="156">
        <v>2325</v>
      </c>
      <c r="K83" s="157" t="s">
        <v>82</v>
      </c>
    </row>
    <row r="84" spans="1:11" ht="35" x14ac:dyDescent="0.35">
      <c r="A84" s="155" t="s">
        <v>81</v>
      </c>
      <c r="B84" s="156" t="s">
        <v>82</v>
      </c>
      <c r="C84" s="156" t="s">
        <v>18</v>
      </c>
      <c r="D84" s="156">
        <v>5</v>
      </c>
      <c r="E84" s="156">
        <v>0</v>
      </c>
      <c r="F84" s="156">
        <v>0</v>
      </c>
      <c r="G84" s="4">
        <f t="shared" si="2"/>
        <v>0</v>
      </c>
      <c r="H84" s="156">
        <v>0</v>
      </c>
      <c r="I84" s="4">
        <f t="shared" si="3"/>
        <v>0</v>
      </c>
      <c r="J84" s="156">
        <v>0</v>
      </c>
      <c r="K84" s="157" t="s">
        <v>83</v>
      </c>
    </row>
    <row r="85" spans="1:11" ht="35" x14ac:dyDescent="0.35">
      <c r="A85" s="155" t="s">
        <v>89</v>
      </c>
      <c r="B85" s="156" t="s">
        <v>82</v>
      </c>
      <c r="C85" s="156" t="s">
        <v>24</v>
      </c>
      <c r="D85" s="156">
        <v>45</v>
      </c>
      <c r="E85" s="156">
        <v>10.8</v>
      </c>
      <c r="F85" s="156">
        <v>0.36</v>
      </c>
      <c r="G85" s="4">
        <f t="shared" si="2"/>
        <v>1842.9120000000003</v>
      </c>
      <c r="H85" s="156">
        <v>1.6</v>
      </c>
      <c r="I85" s="4">
        <f t="shared" si="3"/>
        <v>8190.7200000000012</v>
      </c>
      <c r="J85" s="156">
        <v>474</v>
      </c>
      <c r="K85" s="157" t="s">
        <v>54</v>
      </c>
    </row>
    <row r="86" spans="1:11" ht="35" x14ac:dyDescent="0.35">
      <c r="A86" s="155" t="s">
        <v>89</v>
      </c>
      <c r="B86" s="156" t="s">
        <v>82</v>
      </c>
      <c r="C86" s="156" t="s">
        <v>24</v>
      </c>
      <c r="D86" s="156">
        <v>51</v>
      </c>
      <c r="E86" s="156">
        <v>247.6</v>
      </c>
      <c r="F86" s="156">
        <v>0.36</v>
      </c>
      <c r="G86" s="4">
        <f t="shared" si="2"/>
        <v>42250.464</v>
      </c>
      <c r="H86" s="156">
        <v>1.6</v>
      </c>
      <c r="I86" s="4">
        <f t="shared" si="3"/>
        <v>187779.84</v>
      </c>
      <c r="J86" s="156">
        <v>474</v>
      </c>
      <c r="K86" s="157" t="s">
        <v>54</v>
      </c>
    </row>
    <row r="87" spans="1:11" ht="35" x14ac:dyDescent="0.35">
      <c r="A87" s="155" t="s">
        <v>89</v>
      </c>
      <c r="B87" s="156" t="s">
        <v>82</v>
      </c>
      <c r="C87" s="156" t="s">
        <v>24</v>
      </c>
      <c r="D87" s="156">
        <v>98</v>
      </c>
      <c r="E87" s="156">
        <v>2</v>
      </c>
      <c r="F87" s="156">
        <v>0.36</v>
      </c>
      <c r="G87" s="4">
        <f t="shared" si="2"/>
        <v>341.28</v>
      </c>
      <c r="H87" s="156">
        <v>1.6</v>
      </c>
      <c r="I87" s="4">
        <f t="shared" si="3"/>
        <v>1516.8000000000002</v>
      </c>
      <c r="J87" s="156">
        <v>474</v>
      </c>
      <c r="K87" s="157" t="s">
        <v>54</v>
      </c>
    </row>
    <row r="88" spans="1:11" ht="35" x14ac:dyDescent="0.35">
      <c r="A88" s="155" t="s">
        <v>89</v>
      </c>
      <c r="B88" s="156" t="s">
        <v>82</v>
      </c>
      <c r="C88" s="156" t="s">
        <v>24</v>
      </c>
      <c r="D88" s="156">
        <v>200</v>
      </c>
      <c r="E88" s="156">
        <v>12</v>
      </c>
      <c r="F88" s="156">
        <v>0.36</v>
      </c>
      <c r="G88" s="4">
        <f t="shared" si="2"/>
        <v>2047.6799999999998</v>
      </c>
      <c r="H88" s="156">
        <v>1.6</v>
      </c>
      <c r="I88" s="4">
        <f t="shared" si="3"/>
        <v>9100.8000000000011</v>
      </c>
      <c r="J88" s="156">
        <v>474</v>
      </c>
      <c r="K88" s="157" t="s">
        <v>54</v>
      </c>
    </row>
    <row r="89" spans="1:11" ht="52.5" x14ac:dyDescent="0.35">
      <c r="A89" s="155" t="s">
        <v>145</v>
      </c>
      <c r="B89" s="156" t="s">
        <v>82</v>
      </c>
      <c r="C89" s="156" t="s">
        <v>25</v>
      </c>
      <c r="D89" s="156">
        <v>48</v>
      </c>
      <c r="E89" s="170">
        <v>0</v>
      </c>
      <c r="F89" s="156">
        <v>0.09</v>
      </c>
      <c r="G89" s="4">
        <f t="shared" si="2"/>
        <v>0</v>
      </c>
      <c r="H89" s="156">
        <v>1.6</v>
      </c>
      <c r="I89" s="4">
        <f t="shared" si="3"/>
        <v>0</v>
      </c>
      <c r="J89" s="156">
        <v>474</v>
      </c>
      <c r="K89" s="157" t="s">
        <v>54</v>
      </c>
    </row>
    <row r="90" spans="1:11" ht="52.5" x14ac:dyDescent="0.35">
      <c r="A90" s="155" t="s">
        <v>145</v>
      </c>
      <c r="B90" s="156" t="s">
        <v>82</v>
      </c>
      <c r="C90" s="156" t="s">
        <v>25</v>
      </c>
      <c r="D90" s="156">
        <v>98</v>
      </c>
      <c r="E90" s="156">
        <v>0</v>
      </c>
      <c r="F90" s="156">
        <v>0.09</v>
      </c>
      <c r="G90" s="4">
        <f t="shared" si="2"/>
        <v>0</v>
      </c>
      <c r="H90" s="156">
        <v>1.6</v>
      </c>
      <c r="I90" s="4">
        <f t="shared" si="3"/>
        <v>0</v>
      </c>
      <c r="J90" s="156">
        <v>474</v>
      </c>
      <c r="K90" s="157" t="s">
        <v>54</v>
      </c>
    </row>
    <row r="91" spans="1:11" ht="52.5" x14ac:dyDescent="0.35">
      <c r="A91" s="155" t="s">
        <v>145</v>
      </c>
      <c r="B91" s="156" t="s">
        <v>82</v>
      </c>
      <c r="C91" s="156" t="s">
        <v>25</v>
      </c>
      <c r="D91" s="156">
        <v>198</v>
      </c>
      <c r="E91" s="156">
        <v>0</v>
      </c>
      <c r="F91" s="156">
        <v>0.09</v>
      </c>
      <c r="G91" s="4">
        <f t="shared" si="2"/>
        <v>0</v>
      </c>
      <c r="H91" s="156">
        <v>1.6</v>
      </c>
      <c r="I91" s="4">
        <f t="shared" si="3"/>
        <v>0</v>
      </c>
      <c r="J91" s="156">
        <v>474</v>
      </c>
      <c r="K91" s="157" t="s">
        <v>54</v>
      </c>
    </row>
    <row r="92" spans="1:11" ht="52.5" x14ac:dyDescent="0.35">
      <c r="A92" s="155" t="s">
        <v>145</v>
      </c>
      <c r="B92" s="156" t="s">
        <v>82</v>
      </c>
      <c r="C92" s="156" t="s">
        <v>25</v>
      </c>
      <c r="D92" s="156">
        <v>200</v>
      </c>
      <c r="E92" s="156">
        <v>0</v>
      </c>
      <c r="F92" s="156">
        <v>0.09</v>
      </c>
      <c r="G92" s="4">
        <f t="shared" si="2"/>
        <v>0</v>
      </c>
      <c r="H92" s="156">
        <v>1.6</v>
      </c>
      <c r="I92" s="4">
        <f t="shared" si="3"/>
        <v>0</v>
      </c>
      <c r="J92" s="156">
        <v>474</v>
      </c>
      <c r="K92" s="157" t="s">
        <v>54</v>
      </c>
    </row>
    <row r="93" spans="1:11" x14ac:dyDescent="0.35">
      <c r="G93" s="140">
        <f>SUM(G8:G92)</f>
        <v>398470.82799999992</v>
      </c>
      <c r="H93" s="140"/>
      <c r="I93" s="140">
        <f t="shared" ref="I93" si="4">SUM(I8:I92)</f>
        <v>300607.82</v>
      </c>
    </row>
    <row r="95" spans="1:11" x14ac:dyDescent="0.35">
      <c r="H95" s="140">
        <f>G93-I93</f>
        <v>97863.007999999914</v>
      </c>
      <c r="I95" s="4" t="s">
        <v>44</v>
      </c>
    </row>
    <row r="96" spans="1:11" x14ac:dyDescent="0.35">
      <c r="H96" s="140">
        <f>H95/1000</f>
        <v>97.863007999999908</v>
      </c>
      <c r="I96" s="4" t="s">
        <v>110</v>
      </c>
    </row>
  </sheetData>
  <mergeCells count="1">
    <mergeCell ref="A3:I3"/>
  </mergeCells>
  <pageMargins left="0.7" right="0.7" top="0.75" bottom="0.75" header="0.3" footer="0.3"/>
  <pageSetup paperSize="9" orientation="portrait" verticalDpi="0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Y D A A B Q S w M E F A A C A A g A 0 E p b U 4 / 5 S y 6 m A A A A 9 Q A A A B I A H A B D b 2 5 m a W c v U G F j a 2 F n Z S 5 4 b W w g o h g A K K A U A A A A A A A A A A A A A A A A A A A A A A A A A A A A e 7 9 7 v 4 1 9 R W 6 O Q l l q U X F m f p 6 t k q G e g Z J C a l 5 y f k p m X r q t U m l J m q 6 F k r 2 d T U B i c n Z i e q o C U H F e s V V F c a a t U k Z J S Y G V v n 5 5 e b l e u b F e f l G 6 v p G B g a F + h K 9 P c H J G a m 6 i b m Z e c U l i X n K q E l x X C m F d S n Y 2 Y R D H 2 B n p W R r o m V o Y 6 R n Y 6 M P E b H w z 8 x D y R k D n g m S R B G 2 c S 3 N K S o t S 7 d I y d d 0 8 b f R h X B t 9 q B f s A F B L A w Q U A A I A C A D Q S l t T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0 E p b U y i K R 7 g O A A A A E Q A A A B M A H A B G b 3 J t d W x h c y 9 T Z W N 0 a W 9 u M S 5 t I K I Y A C i g F A A A A A A A A A A A A A A A A A A A A A A A A A A A A C t O T S 7 J z M 9 T C I b Q h t Y A U E s B A i 0 A F A A C A A g A 0 E p b U 4 / 5 S y 6 m A A A A 9 Q A A A B I A A A A A A A A A A A A A A A A A A A A A A E N v b m Z p Z y 9 Q Y W N r Y W d l L n h t b F B L A Q I t A B Q A A g A I A N B K W 1 M P y u m r p A A A A O k A A A A T A A A A A A A A A A A A A A A A A P I A A A B b Q 2 9 u d G V u d F 9 U e X B l c 1 0 u e G 1 s U E s B A i 0 A F A A C A A g A 0 E p b U y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2 g A A A A E A A A D Q j J 3 f A R X R E Y x 6 A M B P w p f r A Q A A A A N b N / 2 + 4 n p F m y S 6 G j I W k f Q A A A A A A g A A A A A A A 2 Y A A M A A A A A Q A A A A v v i H I Z w 9 S M / Q R h k h T k M L 8 Q A A A A A E g A A A o A A A A B A A A A D f l 8 w A 5 x Y Y Z R q Y b W 7 l O j p d U A A A A M 4 p 2 i C o C / G Q V z X Y c / 8 z 1 j w E w 6 p r z n / M r R 2 V F E p + 7 t Z n C N w X 0 7 U i A w E U U 7 w b y G K U t / I J w O u 7 k o S O e z e f B g K 4 K 7 I B 3 O f R l U S k x s E m G y z H m t y V F A A A A O K o I P / 8 q s C P P w M 9 g N N o 7 k / v G 7 f M < / D a t a M a s h u p > 
</file>

<file path=customXml/itemProps1.xml><?xml version="1.0" encoding="utf-8"?>
<ds:datastoreItem xmlns:ds="http://schemas.openxmlformats.org/officeDocument/2006/customXml" ds:itemID="{3C3BE526-2C66-498E-ACBE-5D5E6C54D486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21</vt:i4>
      </vt:variant>
    </vt:vector>
  </HeadingPairs>
  <TitlesOfParts>
    <vt:vector size="21" baseType="lpstr">
      <vt:lpstr>Aloitussivu</vt:lpstr>
      <vt:lpstr>Hiilitaselaskuri</vt:lpstr>
      <vt:lpstr>CLT80</vt:lpstr>
      <vt:lpstr>CLT80+CLT200</vt:lpstr>
      <vt:lpstr>CLT120</vt:lpstr>
      <vt:lpstr>Massiivi CLT-rakenne</vt:lpstr>
      <vt:lpstr>CLT300</vt:lpstr>
      <vt:lpstr>CLT400</vt:lpstr>
      <vt:lpstr>Rankarakenne</vt:lpstr>
      <vt:lpstr>Teräsbetoni</vt:lpstr>
      <vt:lpstr>AC-Arvot</vt:lpstr>
      <vt:lpstr>Tulokset</vt:lpstr>
      <vt:lpstr>Krstalo CLT80</vt:lpstr>
      <vt:lpstr>CLT80Laskuri</vt:lpstr>
      <vt:lpstr>CLT80+CLT200Laskuri</vt:lpstr>
      <vt:lpstr>CLT120Laskuri</vt:lpstr>
      <vt:lpstr>CLT200FULLLaskuri</vt:lpstr>
      <vt:lpstr>CLT300Laskuri</vt:lpstr>
      <vt:lpstr>CLT400Laskuri</vt:lpstr>
      <vt:lpstr>RankaLaskuri</vt:lpstr>
      <vt:lpstr>TBLaskuri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Topi Huhtanen</dc:creator>
  <cp:lastModifiedBy>Topi Huhtanen</cp:lastModifiedBy>
  <dcterms:created xsi:type="dcterms:W3CDTF">2015-06-05T18:17:20Z</dcterms:created>
  <dcterms:modified xsi:type="dcterms:W3CDTF">2022-06-21T12:22:50Z</dcterms:modified>
</cp:coreProperties>
</file>